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A80498A1-E0B7-4860-87F6-1C5D7C56028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19 - 2022" sheetId="10" r:id="rId1"/>
  </sheets>
  <definedNames>
    <definedName name="_xlnm.Print_Titles" localSheetId="0">'2019 - 2022'!$7:$9</definedName>
    <definedName name="_xlnm.Print_Area" localSheetId="0">'2019 - 2022'!$B$1:$P$135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6" i="10" l="1"/>
  <c r="L104" i="10"/>
  <c r="L68" i="10"/>
  <c r="L128" i="10"/>
  <c r="L86" i="10"/>
  <c r="L26" i="10"/>
  <c r="L25" i="10"/>
  <c r="L110" i="10"/>
  <c r="L84" i="10"/>
  <c r="G25" i="10"/>
  <c r="L83" i="10"/>
  <c r="K128" i="10"/>
  <c r="K116" i="10"/>
  <c r="K110" i="10"/>
  <c r="K25" i="10"/>
  <c r="G23" i="10"/>
  <c r="G24" i="10"/>
  <c r="G27" i="10"/>
  <c r="G31" i="10"/>
  <c r="G32" i="10"/>
  <c r="G33" i="10"/>
  <c r="G35" i="10"/>
  <c r="G36" i="10"/>
  <c r="G37" i="10"/>
  <c r="G39" i="10"/>
  <c r="G41" i="10"/>
  <c r="G42" i="10"/>
  <c r="G43" i="10"/>
  <c r="G44" i="10"/>
  <c r="G45" i="10"/>
  <c r="G47" i="10"/>
  <c r="G48" i="10"/>
  <c r="G49" i="10"/>
  <c r="G51" i="10"/>
  <c r="G53" i="10"/>
  <c r="G54" i="10"/>
  <c r="G55" i="10"/>
  <c r="G57" i="10"/>
  <c r="G59" i="10"/>
  <c r="G60" i="10"/>
  <c r="G61" i="10"/>
  <c r="G63" i="10"/>
  <c r="G65" i="10"/>
  <c r="G66" i="10"/>
  <c r="G67" i="10"/>
  <c r="G69" i="10"/>
  <c r="G71" i="10"/>
  <c r="G72" i="10"/>
  <c r="G73" i="10"/>
  <c r="G74" i="10"/>
  <c r="G75" i="10"/>
  <c r="G87" i="10"/>
  <c r="G89" i="10"/>
  <c r="G90" i="10"/>
  <c r="G91" i="10"/>
  <c r="G93" i="10"/>
  <c r="G95" i="10"/>
  <c r="G96" i="10"/>
  <c r="G97" i="10"/>
  <c r="G99" i="10"/>
  <c r="G101" i="10"/>
  <c r="G102" i="10"/>
  <c r="G103" i="10"/>
  <c r="G105" i="10"/>
  <c r="G107" i="10"/>
  <c r="G108" i="10"/>
  <c r="G109" i="10"/>
  <c r="G111" i="10"/>
  <c r="G113" i="10"/>
  <c r="G114" i="10"/>
  <c r="G115" i="10"/>
  <c r="G117" i="10"/>
  <c r="G119" i="10"/>
  <c r="G120" i="10"/>
  <c r="G121" i="10"/>
  <c r="G123" i="10"/>
  <c r="G125" i="10"/>
  <c r="G126" i="10"/>
  <c r="G127" i="10"/>
  <c r="G128" i="10"/>
  <c r="G129" i="10"/>
  <c r="N10" i="10" l="1"/>
  <c r="N17" i="10"/>
  <c r="N18" i="10"/>
  <c r="N19" i="10"/>
  <c r="N20" i="10"/>
  <c r="N21" i="10"/>
  <c r="N22" i="10"/>
  <c r="N28" i="10"/>
  <c r="N34" i="10"/>
  <c r="N40" i="10"/>
  <c r="N46" i="10"/>
  <c r="N52" i="10"/>
  <c r="N58" i="10"/>
  <c r="N64" i="10"/>
  <c r="N70" i="10"/>
  <c r="N77" i="10"/>
  <c r="N131" i="10" s="1"/>
  <c r="N78" i="10"/>
  <c r="N79" i="10"/>
  <c r="N80" i="10"/>
  <c r="N81" i="10"/>
  <c r="N135" i="10" s="1"/>
  <c r="N82" i="10"/>
  <c r="N88" i="10"/>
  <c r="N94" i="10"/>
  <c r="N100" i="10"/>
  <c r="N106" i="10"/>
  <c r="N112" i="10"/>
  <c r="N118" i="10"/>
  <c r="N124" i="10"/>
  <c r="K80" i="10"/>
  <c r="J122" i="10"/>
  <c r="G122" i="10" s="1"/>
  <c r="J110" i="10"/>
  <c r="G110" i="10" s="1"/>
  <c r="K26" i="10"/>
  <c r="K20" i="10" s="1"/>
  <c r="K19" i="10"/>
  <c r="I79" i="10"/>
  <c r="J79" i="10"/>
  <c r="K79" i="10"/>
  <c r="L79" i="10"/>
  <c r="M79" i="10"/>
  <c r="L80" i="10"/>
  <c r="M80" i="10"/>
  <c r="I81" i="10"/>
  <c r="J81" i="10"/>
  <c r="K81" i="10"/>
  <c r="L81" i="10"/>
  <c r="M81" i="10"/>
  <c r="J78" i="10"/>
  <c r="K78" i="10"/>
  <c r="L78" i="10"/>
  <c r="M78" i="10"/>
  <c r="O78" i="10"/>
  <c r="J77" i="10"/>
  <c r="K77" i="10"/>
  <c r="L77" i="10"/>
  <c r="M77" i="10"/>
  <c r="H81" i="10"/>
  <c r="I21" i="10"/>
  <c r="J21" i="10"/>
  <c r="K21" i="10"/>
  <c r="L21" i="10"/>
  <c r="M21" i="10"/>
  <c r="L20" i="10"/>
  <c r="M20" i="10"/>
  <c r="I19" i="10"/>
  <c r="J19" i="10"/>
  <c r="L19" i="10"/>
  <c r="M19" i="10"/>
  <c r="I18" i="10"/>
  <c r="J18" i="10"/>
  <c r="K18" i="10"/>
  <c r="L18" i="10"/>
  <c r="M18" i="10"/>
  <c r="I17" i="10"/>
  <c r="J17" i="10"/>
  <c r="K17" i="10"/>
  <c r="L17" i="10"/>
  <c r="M17" i="10"/>
  <c r="H19" i="10"/>
  <c r="H21" i="10"/>
  <c r="G81" i="10" l="1"/>
  <c r="G21" i="10"/>
  <c r="G19" i="10"/>
  <c r="N16" i="10"/>
  <c r="N132" i="10"/>
  <c r="N76" i="10"/>
  <c r="N134" i="10"/>
  <c r="N133" i="10"/>
  <c r="J124" i="10"/>
  <c r="N130" i="10" l="1"/>
  <c r="J132" i="10"/>
  <c r="J118" i="10"/>
  <c r="J116" i="10"/>
  <c r="J112" i="10" s="1"/>
  <c r="J106" i="10"/>
  <c r="J104" i="10"/>
  <c r="J98" i="10"/>
  <c r="J88" i="10"/>
  <c r="J86" i="10"/>
  <c r="J135" i="10"/>
  <c r="J133" i="10"/>
  <c r="J131" i="10"/>
  <c r="J70" i="10"/>
  <c r="J68" i="10"/>
  <c r="J58" i="10"/>
  <c r="J52" i="10"/>
  <c r="J46" i="10"/>
  <c r="J40" i="10"/>
  <c r="J34" i="10"/>
  <c r="J28" i="10"/>
  <c r="J22" i="10"/>
  <c r="J100" i="10" l="1"/>
  <c r="G104" i="10"/>
  <c r="J94" i="10"/>
  <c r="G98" i="10"/>
  <c r="J20" i="10"/>
  <c r="G68" i="10"/>
  <c r="J80" i="10"/>
  <c r="J64" i="10"/>
  <c r="J16" i="10" s="1"/>
  <c r="J82" i="10"/>
  <c r="J134" i="10"/>
  <c r="L124" i="10"/>
  <c r="L118" i="10"/>
  <c r="L112" i="10"/>
  <c r="L106" i="10"/>
  <c r="L100" i="10"/>
  <c r="L94" i="10"/>
  <c r="L88" i="10"/>
  <c r="L82" i="10"/>
  <c r="L132" i="10"/>
  <c r="L70" i="10"/>
  <c r="L64" i="10"/>
  <c r="L58" i="10"/>
  <c r="L52" i="10"/>
  <c r="L46" i="10"/>
  <c r="L40" i="10"/>
  <c r="L34" i="10"/>
  <c r="L28" i="10"/>
  <c r="L22" i="10"/>
  <c r="L10" i="10"/>
  <c r="H10" i="10"/>
  <c r="I10" i="10"/>
  <c r="J10" i="10"/>
  <c r="K10" i="10"/>
  <c r="H22" i="10"/>
  <c r="K22" i="10"/>
  <c r="I26" i="10"/>
  <c r="G26" i="10" s="1"/>
  <c r="I28" i="10"/>
  <c r="K28" i="10"/>
  <c r="H29" i="10"/>
  <c r="H30" i="10"/>
  <c r="I34" i="10"/>
  <c r="K34" i="10"/>
  <c r="H38" i="10"/>
  <c r="G38" i="10" s="1"/>
  <c r="H40" i="10"/>
  <c r="I40" i="10"/>
  <c r="K40" i="10"/>
  <c r="H46" i="10"/>
  <c r="K46" i="10"/>
  <c r="I50" i="10"/>
  <c r="I52" i="10"/>
  <c r="K52" i="10"/>
  <c r="H56" i="10"/>
  <c r="I58" i="10"/>
  <c r="K58" i="10"/>
  <c r="H62" i="10"/>
  <c r="H64" i="10"/>
  <c r="I64" i="10"/>
  <c r="K64" i="10"/>
  <c r="H70" i="10"/>
  <c r="K70" i="10"/>
  <c r="K131" i="10"/>
  <c r="K132" i="10"/>
  <c r="H135" i="10"/>
  <c r="I135" i="10"/>
  <c r="K135" i="10"/>
  <c r="K82" i="10"/>
  <c r="H83" i="10"/>
  <c r="I83" i="10"/>
  <c r="H84" i="10"/>
  <c r="I84" i="10"/>
  <c r="H85" i="10"/>
  <c r="H86" i="10"/>
  <c r="G86" i="10" s="1"/>
  <c r="I88" i="10"/>
  <c r="K88" i="10"/>
  <c r="H92" i="10"/>
  <c r="H94" i="10"/>
  <c r="I94" i="10"/>
  <c r="K94" i="10"/>
  <c r="H100" i="10"/>
  <c r="I100" i="10"/>
  <c r="K100" i="10"/>
  <c r="H106" i="10"/>
  <c r="I106" i="10"/>
  <c r="K106" i="10"/>
  <c r="H112" i="10"/>
  <c r="K112" i="10"/>
  <c r="I116" i="10"/>
  <c r="H118" i="10"/>
  <c r="I118" i="10"/>
  <c r="K118" i="10"/>
  <c r="H124" i="10"/>
  <c r="I124" i="10"/>
  <c r="K124" i="10"/>
  <c r="I80" i="10" l="1"/>
  <c r="G116" i="10"/>
  <c r="H88" i="10"/>
  <c r="G92" i="10"/>
  <c r="H79" i="10"/>
  <c r="G79" i="10" s="1"/>
  <c r="G85" i="10"/>
  <c r="H77" i="10"/>
  <c r="G83" i="10"/>
  <c r="H58" i="10"/>
  <c r="G62" i="10"/>
  <c r="H17" i="10"/>
  <c r="G17" i="10" s="1"/>
  <c r="G29" i="10"/>
  <c r="H78" i="10"/>
  <c r="H132" i="10" s="1"/>
  <c r="G84" i="10"/>
  <c r="I46" i="10"/>
  <c r="G50" i="10"/>
  <c r="H52" i="10"/>
  <c r="G56" i="10"/>
  <c r="H18" i="10"/>
  <c r="G18" i="10" s="1"/>
  <c r="G30" i="10"/>
  <c r="H80" i="10"/>
  <c r="G80" i="10" s="1"/>
  <c r="J76" i="10"/>
  <c r="J130" i="10" s="1"/>
  <c r="K76" i="10"/>
  <c r="L76" i="10"/>
  <c r="I77" i="10"/>
  <c r="I131" i="10" s="1"/>
  <c r="I78" i="10"/>
  <c r="I132" i="10" s="1"/>
  <c r="I112" i="10"/>
  <c r="L16" i="10"/>
  <c r="K16" i="10"/>
  <c r="I22" i="10"/>
  <c r="I16" i="10" s="1"/>
  <c r="I20" i="10"/>
  <c r="H20" i="10"/>
  <c r="G20" i="10" s="1"/>
  <c r="K134" i="10"/>
  <c r="K133" i="10"/>
  <c r="I133" i="10"/>
  <c r="L133" i="10"/>
  <c r="L134" i="10"/>
  <c r="H82" i="10"/>
  <c r="L131" i="10"/>
  <c r="L135" i="10"/>
  <c r="H133" i="10"/>
  <c r="H28" i="10"/>
  <c r="H131" i="10"/>
  <c r="H34" i="10"/>
  <c r="I82" i="10"/>
  <c r="M124" i="10"/>
  <c r="G124" i="10" s="1"/>
  <c r="H16" i="10" l="1"/>
  <c r="H76" i="10"/>
  <c r="H130" i="10" s="1"/>
  <c r="G77" i="10"/>
  <c r="G78" i="10"/>
  <c r="I76" i="10"/>
  <c r="L130" i="10"/>
  <c r="K130" i="10"/>
  <c r="H134" i="10"/>
  <c r="I130" i="10"/>
  <c r="I134" i="10"/>
  <c r="M70" i="10" l="1"/>
  <c r="G70" i="10" s="1"/>
  <c r="M22" i="10" l="1"/>
  <c r="G22" i="10" s="1"/>
  <c r="M28" i="10"/>
  <c r="G28" i="10" s="1"/>
  <c r="M34" i="10"/>
  <c r="G34" i="10" s="1"/>
  <c r="M40" i="10"/>
  <c r="G40" i="10" s="1"/>
  <c r="M46" i="10"/>
  <c r="G46" i="10" s="1"/>
  <c r="M52" i="10"/>
  <c r="G52" i="10" s="1"/>
  <c r="M58" i="10"/>
  <c r="G58" i="10" s="1"/>
  <c r="M64" i="10"/>
  <c r="G64" i="10" s="1"/>
  <c r="M82" i="10"/>
  <c r="G82" i="10" s="1"/>
  <c r="M88" i="10"/>
  <c r="G88" i="10" s="1"/>
  <c r="M94" i="10"/>
  <c r="G94" i="10" s="1"/>
  <c r="M100" i="10"/>
  <c r="G100" i="10" s="1"/>
  <c r="M106" i="10"/>
  <c r="G106" i="10" s="1"/>
  <c r="M112" i="10"/>
  <c r="G112" i="10" s="1"/>
  <c r="M118" i="10"/>
  <c r="G118" i="10" s="1"/>
  <c r="M76" i="10" l="1"/>
  <c r="G76" i="10" s="1"/>
  <c r="M16" i="10"/>
  <c r="G16" i="10" s="1"/>
  <c r="M132" i="10"/>
  <c r="G132" i="10" s="1"/>
  <c r="M134" i="10"/>
  <c r="G134" i="10" s="1"/>
  <c r="M135" i="10"/>
  <c r="G135" i="10" s="1"/>
  <c r="M133" i="10"/>
  <c r="G133" i="10" s="1"/>
  <c r="M131" i="10"/>
  <c r="G131" i="10" s="1"/>
  <c r="M130" i="10" l="1"/>
  <c r="G130" i="10" s="1"/>
  <c r="G14" i="10" l="1"/>
  <c r="G13" i="10"/>
  <c r="G12" i="10"/>
  <c r="G11" i="10"/>
  <c r="M10" i="10"/>
  <c r="G10" i="10" l="1"/>
</calcChain>
</file>

<file path=xl/sharedStrings.xml><?xml version="1.0" encoding="utf-8"?>
<sst xmlns="http://schemas.openxmlformats.org/spreadsheetml/2006/main" count="209" uniqueCount="69">
  <si>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</si>
  <si>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</si>
  <si>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</si>
  <si>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</si>
  <si>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</si>
  <si>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</si>
  <si>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</si>
  <si>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</si>
  <si>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</si>
  <si>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ИТОГО по Программе:</t>
  </si>
  <si>
    <t>ДГХА г. Евпатории РК</t>
  </si>
  <si>
    <t>2019-2022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</si>
  <si>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</si>
  <si>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</si>
  <si>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Мероприятие 3.4</t>
  </si>
  <si>
    <t>1</t>
  </si>
  <si>
    <t>1.1</t>
  </si>
  <si>
    <t>1.2</t>
  </si>
  <si>
    <t>1.3</t>
  </si>
  <si>
    <t>2.1</t>
  </si>
  <si>
    <t>ДГХА г. Евпатории РК, МБУ "Порядок"</t>
  </si>
  <si>
    <t>Благоустройство дворовых территорий</t>
  </si>
  <si>
    <t>1.4</t>
  </si>
  <si>
    <t>1.5</t>
  </si>
  <si>
    <t>1.6</t>
  </si>
  <si>
    <t>1.7</t>
  </si>
  <si>
    <t>1.8</t>
  </si>
  <si>
    <t>1.9</t>
  </si>
  <si>
    <t>Благоустройство придомовых территорий и ремонт детских игровых площадок на территории муниципального образования городской округ Евпатория Республики Крым</t>
  </si>
  <si>
    <t>2</t>
  </si>
  <si>
    <t>Благоустройство общественных территорий</t>
  </si>
  <si>
    <t>2.2</t>
  </si>
  <si>
    <t>2.3</t>
  </si>
  <si>
    <t>2.4</t>
  </si>
  <si>
    <t>2.5</t>
  </si>
  <si>
    <t>2.6</t>
  </si>
  <si>
    <t>2.7</t>
  </si>
  <si>
    <t>2.8</t>
  </si>
  <si>
    <t>Поставка сборно-разборных металлических защитных конструкций для контейнерных площадок</t>
  </si>
  <si>
    <t>Услуги по приобретению,установке,содержанию и ремонту автоматического дорожного блокиратора «Боллард»</t>
  </si>
  <si>
    <t xml:space="preserve">Капитальный ремонт общественных территорий
</t>
  </si>
  <si>
    <t>Установка систем видеонаблюдения  общественных территорий</t>
  </si>
  <si>
    <t>- бюджеты субъектов РФ</t>
  </si>
  <si>
    <t>Благоустройство общественных территорий (в части установки остановочных павильонов)</t>
  </si>
  <si>
    <t>Проектно - изыскательские работы, разработка дизайн-проектов и проектно-сметной документации по благоустройству общественных пространств, проведение экспертиз проектно-сметной документации</t>
  </si>
  <si>
    <t>Проектно - изыскательские работы, разработка дизайн-проектов и проектно-сметной документации по благоустройству дворовых территорий, проведение экспертиз проектно-сметной документации</t>
  </si>
  <si>
    <t xml:space="preserve"> внебюджетные источники</t>
  </si>
  <si>
    <t xml:space="preserve">Приложение № 3
к муниципальной программе «Формирование современной городской среды городского округа Евпатория Республики Крым» </t>
  </si>
  <si>
    <t>Ресурсное обеспечение и прогнозная оценка расходов на реализацию муниципальной программы по источникам финансирования</t>
  </si>
  <si>
    <t xml:space="preserve">  </t>
  </si>
  <si>
    <t xml:space="preserve">Благоустройство территорий за счёт средств, источником финансового обеспечения которых являются средства резервного фонда Правительства Российской Федерации </t>
  </si>
  <si>
    <t>Капитальный ремонт дворовых территорий в рамках реализации Соглашения между Правительством Москвы и Советом министров Республики Крым</t>
  </si>
  <si>
    <t xml:space="preserve">Строительный контроль и технический надзор по благоустройству общественных территорий </t>
  </si>
  <si>
    <t xml:space="preserve">Строительный контроль и технический надзор по благоустройству дворовых территорий </t>
  </si>
  <si>
    <t xml:space="preserve">Ремонт (текущий ремонт) контейнерных площадок
</t>
  </si>
  <si>
    <t>Благоустройство общественных территорий(в части обустройства контейнерных площадок для сбора ТКО)</t>
  </si>
  <si>
    <t>Благоустройство и установка многофункциональных площадок</t>
  </si>
  <si>
    <t xml:space="preserve">Благоустройство общественных территорий </t>
  </si>
  <si>
    <t>2022-2027</t>
  </si>
  <si>
    <t>2022-2025</t>
  </si>
  <si>
    <t>Благоустройство общественных территорий (в части закупки контейнеров для сбора ТКО)</t>
  </si>
  <si>
    <t>Объем финансирования по годам (тыс. руб.)</t>
  </si>
  <si>
    <t>2022,2023, 2025</t>
  </si>
  <si>
    <t>2022-2028</t>
  </si>
  <si>
    <t xml:space="preserve"> 2022, 2025-2028</t>
  </si>
  <si>
    <t>2022-2026</t>
  </si>
  <si>
    <t>2024,2026, 2027</t>
  </si>
  <si>
    <t>2023-2025</t>
  </si>
  <si>
    <t>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</si>
</sst>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#,##0.00000"/>
    <numFmt numFmtId="167" formatCode="#,##0.00_р_.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66" fontId="5" fillId="0" borderId="36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6" fontId="5" fillId="0" borderId="45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166" fontId="5" fillId="0" borderId="4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166" fontId="3" fillId="0" borderId="47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45" xfId="0" applyNumberFormat="1" applyFont="1" applyBorder="1" applyAlignment="1">
      <alignment horizontal="righ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right" vertical="center" wrapText="1"/>
    </xf>
    <xf numFmtId="166" fontId="8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29" xfId="0" applyNumberFormat="1" applyFont="1" applyBorder="1" applyAlignment="1">
      <alignment horizontal="right" vertical="center" wrapText="1"/>
    </xf>
    <xf numFmtId="166" fontId="3" fillId="0" borderId="46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166" fontId="3" fillId="0" borderId="4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/>
    <xf numFmtId="4" fontId="12" fillId="0" borderId="0" xfId="0" applyNumberFormat="1" applyFont="1"/>
    <xf numFmtId="166" fontId="5" fillId="0" borderId="20" xfId="0" applyNumberFormat="1" applyFont="1" applyBorder="1" applyAlignment="1">
      <alignment horizontal="right" vertical="center" wrapText="1"/>
    </xf>
    <xf numFmtId="166" fontId="5" fillId="0" borderId="22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right" vertical="center" wrapText="1"/>
    </xf>
    <xf numFmtId="166" fontId="5" fillId="0" borderId="27" xfId="0" applyNumberFormat="1" applyFont="1" applyBorder="1" applyAlignment="1">
      <alignment horizontal="right" vertical="center" wrapText="1"/>
    </xf>
    <xf numFmtId="166" fontId="5" fillId="0" borderId="4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9"/>
  <sheetViews>
    <sheetView tabSelected="1" view="pageBreakPreview" zoomScale="90" zoomScaleNormal="90" zoomScaleSheetLayoutView="90" workbookViewId="0">
      <pane xSplit="7" ySplit="15" topLeftCell="H127" activePane="bottomRight" state="frozen"/>
      <selection pane="topRight" activeCell="H1" sqref="H1"/>
      <selection pane="bottomLeft" activeCell="A16" sqref="A16"/>
      <selection pane="bottomRight" activeCell="G130" sqref="G130:N135"/>
    </sheetView>
  </sheetViews>
  <sheetFormatPr defaultColWidth="9.109375" defaultRowHeight="15.6" x14ac:dyDescent="0.3"/>
  <cols>
    <col min="1" max="1" width="2.88671875" style="1" customWidth="1"/>
    <col min="2" max="2" width="5.88671875" style="1" customWidth="1"/>
    <col min="3" max="3" width="33.6640625" style="2" customWidth="1"/>
    <col min="4" max="4" width="13.5546875" style="2" customWidth="1"/>
    <col min="5" max="5" width="15.44140625" style="2" customWidth="1"/>
    <col min="6" max="6" width="28.44140625" style="2" customWidth="1"/>
    <col min="7" max="7" width="17.33203125" style="2" customWidth="1"/>
    <col min="8" max="10" width="14.33203125" style="2" bestFit="1" customWidth="1"/>
    <col min="11" max="11" width="18.21875" style="2" bestFit="1" customWidth="1"/>
    <col min="12" max="13" width="14.33203125" style="2" bestFit="1" customWidth="1"/>
    <col min="14" max="14" width="14.6640625" style="5" customWidth="1"/>
    <col min="15" max="15" width="8.21875" style="2" hidden="1" customWidth="1"/>
    <col min="16" max="16" width="12.21875" style="1" hidden="1" customWidth="1"/>
    <col min="17" max="18" width="8.109375" style="4" bestFit="1" customWidth="1"/>
    <col min="19" max="19" width="13" style="4" bestFit="1" customWidth="1"/>
    <col min="20" max="20" width="14.5546875" style="4" customWidth="1"/>
    <col min="21" max="16384" width="9.109375" style="4"/>
  </cols>
  <sheetData>
    <row r="1" spans="2:16" ht="30.75" customHeight="1" x14ac:dyDescent="0.3">
      <c r="H1" s="79"/>
      <c r="I1" s="79"/>
      <c r="J1" s="79"/>
      <c r="K1" s="79"/>
      <c r="L1" s="79"/>
      <c r="M1" s="79"/>
      <c r="N1" s="79"/>
      <c r="O1" s="79"/>
      <c r="P1" s="79"/>
    </row>
    <row r="2" spans="2:16" ht="12" customHeight="1" x14ac:dyDescent="0.3">
      <c r="H2" s="3"/>
      <c r="I2" s="3"/>
      <c r="J2" s="3"/>
      <c r="K2" s="3"/>
      <c r="L2" s="3"/>
      <c r="M2" s="3"/>
      <c r="O2" s="3"/>
      <c r="P2" s="3"/>
    </row>
    <row r="3" spans="2:16" ht="35.25" customHeight="1" x14ac:dyDescent="0.3">
      <c r="H3" s="85" t="s">
        <v>47</v>
      </c>
      <c r="I3" s="85"/>
      <c r="J3" s="85"/>
      <c r="K3" s="85"/>
      <c r="L3" s="85"/>
      <c r="M3" s="85"/>
      <c r="N3" s="85"/>
      <c r="O3" s="85"/>
      <c r="P3" s="85"/>
    </row>
    <row r="4" spans="2:16" ht="16.5" customHeight="1" x14ac:dyDescent="0.3">
      <c r="H4" s="6"/>
      <c r="I4" s="6"/>
      <c r="J4" s="6"/>
      <c r="K4" s="6"/>
      <c r="L4" s="6"/>
      <c r="M4" s="6"/>
      <c r="N4" s="7"/>
      <c r="O4" s="6"/>
      <c r="P4" s="6"/>
    </row>
    <row r="5" spans="2:16" ht="16.5" customHeight="1" x14ac:dyDescent="0.3">
      <c r="B5" s="86" t="s">
        <v>48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2:16" ht="16.5" customHeight="1" thickBot="1" x14ac:dyDescent="0.3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9"/>
      <c r="P6" s="9"/>
    </row>
    <row r="7" spans="2:16" ht="71.25" customHeight="1" x14ac:dyDescent="0.3">
      <c r="B7" s="87" t="s">
        <v>6</v>
      </c>
      <c r="C7" s="81" t="s">
        <v>13</v>
      </c>
      <c r="D7" s="81" t="s">
        <v>0</v>
      </c>
      <c r="E7" s="81" t="s">
        <v>12</v>
      </c>
      <c r="F7" s="84" t="s">
        <v>7</v>
      </c>
      <c r="G7" s="91" t="s">
        <v>8</v>
      </c>
      <c r="H7" s="80" t="s">
        <v>61</v>
      </c>
      <c r="I7" s="81"/>
      <c r="J7" s="81"/>
      <c r="K7" s="81"/>
      <c r="L7" s="81"/>
      <c r="M7" s="81"/>
      <c r="N7" s="82"/>
      <c r="O7" s="83"/>
      <c r="P7" s="84"/>
    </row>
    <row r="8" spans="2:16" ht="13.5" customHeight="1" thickBot="1" x14ac:dyDescent="0.35">
      <c r="B8" s="88"/>
      <c r="C8" s="89"/>
      <c r="D8" s="89"/>
      <c r="E8" s="89"/>
      <c r="F8" s="90"/>
      <c r="G8" s="92"/>
      <c r="H8" s="11">
        <v>2022</v>
      </c>
      <c r="I8" s="11">
        <v>2023</v>
      </c>
      <c r="J8" s="11">
        <v>2024</v>
      </c>
      <c r="K8" s="11">
        <v>2025</v>
      </c>
      <c r="L8" s="12">
        <v>2026</v>
      </c>
      <c r="M8" s="13">
        <v>2027</v>
      </c>
      <c r="N8" s="14">
        <v>2028</v>
      </c>
      <c r="O8" s="4"/>
      <c r="P8" s="4"/>
    </row>
    <row r="9" spans="2:16" ht="16.2" thickBot="1" x14ac:dyDescent="0.35">
      <c r="B9" s="15">
        <v>1</v>
      </c>
      <c r="C9" s="16">
        <v>2</v>
      </c>
      <c r="D9" s="16">
        <v>3</v>
      </c>
      <c r="E9" s="16">
        <v>4</v>
      </c>
      <c r="F9" s="17">
        <v>5</v>
      </c>
      <c r="G9" s="18">
        <v>6</v>
      </c>
      <c r="H9" s="16">
        <v>7</v>
      </c>
      <c r="I9" s="16">
        <v>8</v>
      </c>
      <c r="J9" s="16">
        <v>9</v>
      </c>
      <c r="K9" s="16">
        <v>10</v>
      </c>
      <c r="L9" s="19">
        <v>11</v>
      </c>
      <c r="M9" s="20">
        <v>12</v>
      </c>
      <c r="N9" s="14">
        <v>13</v>
      </c>
      <c r="O9" s="4"/>
      <c r="P9" s="4"/>
    </row>
    <row r="10" spans="2:16" ht="16.5" hidden="1" customHeight="1" thickBot="1" x14ac:dyDescent="0.35">
      <c r="B10" s="111"/>
      <c r="C10" s="114" t="s">
        <v>14</v>
      </c>
      <c r="D10" s="112" t="s">
        <v>11</v>
      </c>
      <c r="E10" s="113" t="s">
        <v>10</v>
      </c>
      <c r="F10" s="21" t="s">
        <v>1</v>
      </c>
      <c r="G10" s="22">
        <f t="shared" ref="G10:M10" si="0">SUM(G11:G14)</f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3">
        <f t="shared" si="0"/>
        <v>0</v>
      </c>
      <c r="L10" s="24">
        <f t="shared" si="0"/>
        <v>0</v>
      </c>
      <c r="M10" s="25">
        <f t="shared" si="0"/>
        <v>0</v>
      </c>
      <c r="N10" s="26">
        <f t="shared" ref="N10" si="1">SUM(N11:N14)</f>
        <v>0</v>
      </c>
      <c r="O10" s="4"/>
      <c r="P10" s="4"/>
    </row>
    <row r="11" spans="2:16" ht="26.25" hidden="1" customHeight="1" x14ac:dyDescent="0.3">
      <c r="B11" s="111"/>
      <c r="C11" s="115"/>
      <c r="D11" s="112"/>
      <c r="E11" s="113"/>
      <c r="F11" s="21" t="s">
        <v>2</v>
      </c>
      <c r="G11" s="22">
        <f>SUM(H11:M11)</f>
        <v>0</v>
      </c>
      <c r="H11" s="22"/>
      <c r="I11" s="22"/>
      <c r="J11" s="22"/>
      <c r="K11" s="23"/>
      <c r="L11" s="24"/>
      <c r="M11" s="25"/>
      <c r="N11" s="26"/>
      <c r="O11" s="4"/>
      <c r="P11" s="4"/>
    </row>
    <row r="12" spans="2:16" ht="27" hidden="1" customHeight="1" x14ac:dyDescent="0.3">
      <c r="B12" s="111"/>
      <c r="C12" s="115"/>
      <c r="D12" s="112"/>
      <c r="E12" s="113"/>
      <c r="F12" s="21" t="s">
        <v>3</v>
      </c>
      <c r="G12" s="22">
        <f>SUM(H12:M12)</f>
        <v>0</v>
      </c>
      <c r="H12" s="22"/>
      <c r="I12" s="22"/>
      <c r="J12" s="22"/>
      <c r="K12" s="23"/>
      <c r="L12" s="24"/>
      <c r="M12" s="25"/>
      <c r="N12" s="26"/>
      <c r="O12" s="4"/>
      <c r="P12" s="4"/>
    </row>
    <row r="13" spans="2:16" ht="25.5" hidden="1" customHeight="1" x14ac:dyDescent="0.3">
      <c r="B13" s="111"/>
      <c r="C13" s="115"/>
      <c r="D13" s="112"/>
      <c r="E13" s="113"/>
      <c r="F13" s="21" t="s">
        <v>4</v>
      </c>
      <c r="G13" s="22">
        <f>SUM(H13:M13)</f>
        <v>0</v>
      </c>
      <c r="H13" s="22"/>
      <c r="I13" s="22"/>
      <c r="J13" s="22"/>
      <c r="K13" s="23"/>
      <c r="L13" s="24"/>
      <c r="M13" s="25"/>
      <c r="N13" s="26"/>
      <c r="O13" s="4"/>
      <c r="P13" s="4"/>
    </row>
    <row r="14" spans="2:16" ht="129.75" hidden="1" customHeight="1" x14ac:dyDescent="0.3">
      <c r="B14" s="111"/>
      <c r="C14" s="116"/>
      <c r="D14" s="112"/>
      <c r="E14" s="113"/>
      <c r="F14" s="21" t="s">
        <v>5</v>
      </c>
      <c r="G14" s="22">
        <f>SUM(H14:M14)</f>
        <v>0</v>
      </c>
      <c r="H14" s="22"/>
      <c r="I14" s="22"/>
      <c r="J14" s="22"/>
      <c r="K14" s="23"/>
      <c r="L14" s="24"/>
      <c r="M14" s="25"/>
      <c r="N14" s="26"/>
      <c r="O14" s="4"/>
      <c r="P14" s="4"/>
    </row>
    <row r="15" spans="2:16" ht="16.2" hidden="1" thickBot="1" x14ac:dyDescent="0.35">
      <c r="B15" s="117"/>
      <c r="C15" s="118"/>
      <c r="D15" s="118"/>
      <c r="E15" s="119"/>
      <c r="F15" s="27"/>
      <c r="G15" s="28"/>
      <c r="H15" s="28"/>
      <c r="I15" s="28"/>
      <c r="J15" s="28"/>
      <c r="K15" s="29"/>
      <c r="L15" s="30"/>
      <c r="M15" s="31"/>
      <c r="N15" s="26"/>
      <c r="O15" s="4"/>
      <c r="P15" s="4"/>
    </row>
    <row r="16" spans="2:16" ht="16.2" thickBot="1" x14ac:dyDescent="0.35">
      <c r="B16" s="102" t="s">
        <v>15</v>
      </c>
      <c r="C16" s="105" t="s">
        <v>21</v>
      </c>
      <c r="D16" s="105" t="s">
        <v>63</v>
      </c>
      <c r="E16" s="108" t="s">
        <v>10</v>
      </c>
      <c r="F16" s="32" t="s">
        <v>1</v>
      </c>
      <c r="G16" s="33">
        <f>SUM(H16:N16)</f>
        <v>586462.97786999994</v>
      </c>
      <c r="H16" s="34">
        <f t="shared" ref="H16:H21" si="2">SUM(H22,H28,H34,H40,H46,H52,H58,H64,H70)</f>
        <v>78947.547869999995</v>
      </c>
      <c r="I16" s="34">
        <f t="shared" ref="I16:M16" si="3">SUM(I22,I28,I34,I40,I46,I52,I58,I64,I70)</f>
        <v>48044.499660000001</v>
      </c>
      <c r="J16" s="34">
        <f t="shared" si="3"/>
        <v>156677.28479999999</v>
      </c>
      <c r="K16" s="34">
        <f t="shared" si="3"/>
        <v>200835.02091999998</v>
      </c>
      <c r="L16" s="34">
        <f t="shared" si="3"/>
        <v>94956.624620000002</v>
      </c>
      <c r="M16" s="35">
        <f t="shared" si="3"/>
        <v>6002</v>
      </c>
      <c r="N16" s="36">
        <f t="shared" ref="N16" si="4">SUM(N22,N28,N34,N40,N46,N52,N58,N64,N70)</f>
        <v>1000</v>
      </c>
      <c r="O16" s="4"/>
      <c r="P16" s="4"/>
    </row>
    <row r="17" spans="2:17" ht="16.2" thickBot="1" x14ac:dyDescent="0.35">
      <c r="B17" s="103"/>
      <c r="C17" s="106"/>
      <c r="D17" s="106"/>
      <c r="E17" s="109"/>
      <c r="F17" s="37" t="s">
        <v>2</v>
      </c>
      <c r="G17" s="33">
        <f t="shared" ref="G17:G80" si="5">SUM(H17:N17)</f>
        <v>53888.229180000002</v>
      </c>
      <c r="H17" s="38">
        <f t="shared" si="2"/>
        <v>53888.229180000002</v>
      </c>
      <c r="I17" s="38">
        <f t="shared" ref="I17:M21" si="6">SUM(I23,I29,I35,I41,I47,I53,I59,I65,I71)</f>
        <v>0</v>
      </c>
      <c r="J17" s="38">
        <f t="shared" si="6"/>
        <v>0</v>
      </c>
      <c r="K17" s="38">
        <f t="shared" si="6"/>
        <v>0</v>
      </c>
      <c r="L17" s="38">
        <f t="shared" si="6"/>
        <v>0</v>
      </c>
      <c r="M17" s="39">
        <f t="shared" si="6"/>
        <v>0</v>
      </c>
      <c r="N17" s="36">
        <f t="shared" ref="N17" si="7">SUM(N23,N29,N35,N41,N47,N53,N59,N65,N71)</f>
        <v>0</v>
      </c>
      <c r="O17" s="4"/>
      <c r="P17" s="4"/>
    </row>
    <row r="18" spans="2:17" ht="16.2" thickBot="1" x14ac:dyDescent="0.35">
      <c r="B18" s="103"/>
      <c r="C18" s="106"/>
      <c r="D18" s="106"/>
      <c r="E18" s="109"/>
      <c r="F18" s="37" t="s">
        <v>3</v>
      </c>
      <c r="G18" s="33">
        <f t="shared" si="5"/>
        <v>12172.32555</v>
      </c>
      <c r="H18" s="38">
        <f t="shared" si="2"/>
        <v>3337.32555</v>
      </c>
      <c r="I18" s="38">
        <f t="shared" si="6"/>
        <v>0</v>
      </c>
      <c r="J18" s="38">
        <f t="shared" si="6"/>
        <v>8835</v>
      </c>
      <c r="K18" s="38">
        <f t="shared" si="6"/>
        <v>0</v>
      </c>
      <c r="L18" s="38">
        <f t="shared" si="6"/>
        <v>0</v>
      </c>
      <c r="M18" s="39">
        <f t="shared" si="6"/>
        <v>0</v>
      </c>
      <c r="N18" s="36">
        <f t="shared" ref="N18" si="8">SUM(N24,N30,N36,N42,N48,N54,N60,N66,N72)</f>
        <v>0</v>
      </c>
      <c r="O18" s="4"/>
      <c r="P18" s="4"/>
    </row>
    <row r="19" spans="2:17" ht="16.2" thickBot="1" x14ac:dyDescent="0.35">
      <c r="B19" s="103"/>
      <c r="C19" s="106"/>
      <c r="D19" s="106"/>
      <c r="E19" s="109"/>
      <c r="F19" s="40" t="s">
        <v>42</v>
      </c>
      <c r="G19" s="33">
        <f t="shared" si="5"/>
        <v>470128.89665999997</v>
      </c>
      <c r="H19" s="38">
        <f t="shared" si="2"/>
        <v>6368</v>
      </c>
      <c r="I19" s="38">
        <f t="shared" si="6"/>
        <v>42755.86709</v>
      </c>
      <c r="J19" s="38">
        <f t="shared" si="6"/>
        <v>144232.90750999999</v>
      </c>
      <c r="K19" s="38">
        <f t="shared" si="6"/>
        <v>192232.12205999999</v>
      </c>
      <c r="L19" s="38">
        <f t="shared" si="6"/>
        <v>84540</v>
      </c>
      <c r="M19" s="39">
        <f t="shared" si="6"/>
        <v>0</v>
      </c>
      <c r="N19" s="36">
        <f t="shared" ref="N19" si="9">SUM(N25,N31,N37,N43,N49,N55,N61,N67,N73)</f>
        <v>0</v>
      </c>
      <c r="O19" s="4"/>
      <c r="P19" s="4"/>
    </row>
    <row r="20" spans="2:17" ht="16.2" thickBot="1" x14ac:dyDescent="0.35">
      <c r="B20" s="103"/>
      <c r="C20" s="106"/>
      <c r="D20" s="106"/>
      <c r="E20" s="109"/>
      <c r="F20" s="37" t="s">
        <v>4</v>
      </c>
      <c r="G20" s="33">
        <f t="shared" si="5"/>
        <v>50273.52648</v>
      </c>
      <c r="H20" s="38">
        <f t="shared" si="2"/>
        <v>15353.993140000002</v>
      </c>
      <c r="I20" s="38">
        <f t="shared" si="6"/>
        <v>5288.6325699999998</v>
      </c>
      <c r="J20" s="38">
        <f t="shared" si="6"/>
        <v>3609.3772899999999</v>
      </c>
      <c r="K20" s="38">
        <f t="shared" si="6"/>
        <v>8602.8988600000012</v>
      </c>
      <c r="L20" s="38">
        <f t="shared" si="6"/>
        <v>10416.624619999999</v>
      </c>
      <c r="M20" s="39">
        <f t="shared" si="6"/>
        <v>6002</v>
      </c>
      <c r="N20" s="36">
        <f t="shared" ref="N20" si="10">SUM(N26,N32,N38,N44,N50,N56,N62,N68,N74)</f>
        <v>1000</v>
      </c>
      <c r="O20" s="4"/>
      <c r="P20" s="4"/>
    </row>
    <row r="21" spans="2:17" ht="16.2" thickBot="1" x14ac:dyDescent="0.35">
      <c r="B21" s="104"/>
      <c r="C21" s="107"/>
      <c r="D21" s="107"/>
      <c r="E21" s="110"/>
      <c r="F21" s="41" t="s">
        <v>5</v>
      </c>
      <c r="G21" s="33">
        <f t="shared" si="5"/>
        <v>0</v>
      </c>
      <c r="H21" s="42">
        <f t="shared" si="2"/>
        <v>0</v>
      </c>
      <c r="I21" s="42">
        <f t="shared" si="6"/>
        <v>0</v>
      </c>
      <c r="J21" s="42">
        <f t="shared" si="6"/>
        <v>0</v>
      </c>
      <c r="K21" s="42">
        <f t="shared" si="6"/>
        <v>0</v>
      </c>
      <c r="L21" s="42">
        <f t="shared" si="6"/>
        <v>0</v>
      </c>
      <c r="M21" s="43">
        <f t="shared" si="6"/>
        <v>0</v>
      </c>
      <c r="N21" s="36">
        <f t="shared" ref="N21" si="11">SUM(N27,N33,N39,N45,N51,N57,N63,N69,N75)</f>
        <v>0</v>
      </c>
      <c r="O21" s="4"/>
      <c r="P21" s="4"/>
    </row>
    <row r="22" spans="2:17" ht="16.2" thickBot="1" x14ac:dyDescent="0.35">
      <c r="B22" s="99" t="s">
        <v>16</v>
      </c>
      <c r="C22" s="93" t="s">
        <v>51</v>
      </c>
      <c r="D22" s="105" t="s">
        <v>63</v>
      </c>
      <c r="E22" s="96" t="s">
        <v>10</v>
      </c>
      <c r="F22" s="44" t="s">
        <v>1</v>
      </c>
      <c r="G22" s="33">
        <f t="shared" si="5"/>
        <v>470601.81082999997</v>
      </c>
      <c r="H22" s="45">
        <f t="shared" ref="H22:M22" si="12">SUM(H23:H27)</f>
        <v>6374.3743700000005</v>
      </c>
      <c r="I22" s="45">
        <f t="shared" si="12"/>
        <v>42800.312819999999</v>
      </c>
      <c r="J22" s="45">
        <f t="shared" si="12"/>
        <v>144377.28479999999</v>
      </c>
      <c r="K22" s="45">
        <f t="shared" si="12"/>
        <v>192425.21421999999</v>
      </c>
      <c r="L22" s="46">
        <f t="shared" si="12"/>
        <v>84624.624620000002</v>
      </c>
      <c r="M22" s="47">
        <f t="shared" si="12"/>
        <v>0</v>
      </c>
      <c r="N22" s="48">
        <f t="shared" ref="N22" si="13">SUM(N23:N27)</f>
        <v>0</v>
      </c>
      <c r="O22" s="49"/>
      <c r="P22" s="4"/>
    </row>
    <row r="23" spans="2:17" ht="16.2" thickBot="1" x14ac:dyDescent="0.35">
      <c r="B23" s="100"/>
      <c r="C23" s="94"/>
      <c r="D23" s="106"/>
      <c r="E23" s="97"/>
      <c r="F23" s="50" t="s">
        <v>2</v>
      </c>
      <c r="G23" s="33">
        <f t="shared" si="5"/>
        <v>0</v>
      </c>
      <c r="H23" s="51"/>
      <c r="I23" s="51">
        <v>0</v>
      </c>
      <c r="J23" s="51"/>
      <c r="K23" s="51"/>
      <c r="L23" s="52"/>
      <c r="M23" s="53"/>
      <c r="N23" s="36"/>
      <c r="O23" s="4"/>
      <c r="P23" s="4"/>
    </row>
    <row r="24" spans="2:17" ht="16.2" thickBot="1" x14ac:dyDescent="0.35">
      <c r="B24" s="100"/>
      <c r="C24" s="94"/>
      <c r="D24" s="106"/>
      <c r="E24" s="97"/>
      <c r="F24" s="50" t="s">
        <v>3</v>
      </c>
      <c r="G24" s="33">
        <f t="shared" si="5"/>
        <v>0</v>
      </c>
      <c r="H24" s="51"/>
      <c r="I24" s="51">
        <v>0</v>
      </c>
      <c r="J24" s="51"/>
      <c r="K24" s="51"/>
      <c r="L24" s="52"/>
      <c r="M24" s="53"/>
      <c r="N24" s="36"/>
      <c r="O24" s="4"/>
      <c r="P24" s="4"/>
    </row>
    <row r="25" spans="2:17" ht="16.2" thickBot="1" x14ac:dyDescent="0.35">
      <c r="B25" s="100"/>
      <c r="C25" s="94"/>
      <c r="D25" s="106"/>
      <c r="E25" s="97"/>
      <c r="F25" s="54" t="s">
        <v>42</v>
      </c>
      <c r="G25" s="33">
        <f t="shared" si="5"/>
        <v>470128.89665999997</v>
      </c>
      <c r="H25" s="51">
        <v>6368</v>
      </c>
      <c r="I25" s="55">
        <v>42755.86709</v>
      </c>
      <c r="J25" s="51">
        <v>144232.90750999999</v>
      </c>
      <c r="K25" s="51">
        <f>192232.12206</f>
        <v>192232.12205999999</v>
      </c>
      <c r="L25" s="52">
        <f>84540</f>
        <v>84540</v>
      </c>
      <c r="M25" s="52">
        <v>0</v>
      </c>
      <c r="N25" s="52">
        <v>0</v>
      </c>
      <c r="O25" s="4"/>
      <c r="P25" s="4"/>
      <c r="Q25" s="56"/>
    </row>
    <row r="26" spans="2:17" ht="16.2" thickBot="1" x14ac:dyDescent="0.35">
      <c r="B26" s="100"/>
      <c r="C26" s="94"/>
      <c r="D26" s="106"/>
      <c r="E26" s="97"/>
      <c r="F26" s="50" t="s">
        <v>4</v>
      </c>
      <c r="G26" s="33">
        <f t="shared" si="5"/>
        <v>472.91416999999996</v>
      </c>
      <c r="H26" s="51">
        <v>6.3743699999999999</v>
      </c>
      <c r="I26" s="55">
        <f>2.05769+42.38804</f>
        <v>44.445729999999998</v>
      </c>
      <c r="J26" s="51">
        <v>144.37728999999999</v>
      </c>
      <c r="K26" s="51">
        <f>210.33598-17.24382</f>
        <v>193.09216000000001</v>
      </c>
      <c r="L26" s="52">
        <f>84.62462</f>
        <v>84.624619999999993</v>
      </c>
      <c r="M26" s="52">
        <v>0</v>
      </c>
      <c r="N26" s="52">
        <v>0</v>
      </c>
      <c r="O26" s="4"/>
      <c r="P26" s="4"/>
    </row>
    <row r="27" spans="2:17" ht="16.2" thickBot="1" x14ac:dyDescent="0.35">
      <c r="B27" s="101"/>
      <c r="C27" s="95"/>
      <c r="D27" s="107"/>
      <c r="E27" s="98"/>
      <c r="F27" s="57" t="s">
        <v>5</v>
      </c>
      <c r="G27" s="33">
        <f t="shared" si="5"/>
        <v>0</v>
      </c>
      <c r="H27" s="58"/>
      <c r="I27" s="58">
        <v>0</v>
      </c>
      <c r="J27" s="58"/>
      <c r="K27" s="58"/>
      <c r="L27" s="59"/>
      <c r="M27" s="60"/>
      <c r="N27" s="36"/>
      <c r="O27" s="4"/>
      <c r="P27" s="4"/>
    </row>
    <row r="28" spans="2:17" ht="15.75" customHeight="1" thickBot="1" x14ac:dyDescent="0.35">
      <c r="B28" s="99" t="s">
        <v>17</v>
      </c>
      <c r="C28" s="93" t="s">
        <v>50</v>
      </c>
      <c r="D28" s="93">
        <v>2022</v>
      </c>
      <c r="E28" s="96" t="s">
        <v>10</v>
      </c>
      <c r="F28" s="44" t="s">
        <v>1</v>
      </c>
      <c r="G28" s="33">
        <f t="shared" si="5"/>
        <v>54432.554730000003</v>
      </c>
      <c r="H28" s="45">
        <f t="shared" ref="H28:M28" si="14">SUM(H29:H33)</f>
        <v>54432.554730000003</v>
      </c>
      <c r="I28" s="45">
        <f t="shared" si="14"/>
        <v>0</v>
      </c>
      <c r="J28" s="45">
        <f t="shared" si="14"/>
        <v>0</v>
      </c>
      <c r="K28" s="45">
        <f t="shared" si="14"/>
        <v>0</v>
      </c>
      <c r="L28" s="46">
        <f t="shared" si="14"/>
        <v>0</v>
      </c>
      <c r="M28" s="47">
        <f t="shared" si="14"/>
        <v>0</v>
      </c>
      <c r="N28" s="36">
        <f t="shared" ref="N28" si="15">SUM(N29:N33)</f>
        <v>0</v>
      </c>
      <c r="O28" s="4"/>
      <c r="P28" s="4"/>
    </row>
    <row r="29" spans="2:17" ht="16.2" thickBot="1" x14ac:dyDescent="0.35">
      <c r="B29" s="100"/>
      <c r="C29" s="94"/>
      <c r="D29" s="94"/>
      <c r="E29" s="97"/>
      <c r="F29" s="50" t="s">
        <v>2</v>
      </c>
      <c r="G29" s="33">
        <f t="shared" si="5"/>
        <v>53888.229180000002</v>
      </c>
      <c r="H29" s="51">
        <f>53888.22918</f>
        <v>53888.229180000002</v>
      </c>
      <c r="I29" s="51">
        <v>0</v>
      </c>
      <c r="J29" s="51"/>
      <c r="K29" s="51"/>
      <c r="L29" s="52"/>
      <c r="M29" s="53"/>
      <c r="N29" s="36"/>
      <c r="O29" s="4"/>
      <c r="P29" s="4"/>
    </row>
    <row r="30" spans="2:17" ht="16.2" thickBot="1" x14ac:dyDescent="0.35">
      <c r="B30" s="100">
        <v>44593</v>
      </c>
      <c r="C30" s="94"/>
      <c r="D30" s="94"/>
      <c r="E30" s="97"/>
      <c r="F30" s="50" t="s">
        <v>3</v>
      </c>
      <c r="G30" s="33">
        <f t="shared" si="5"/>
        <v>544.32555000000002</v>
      </c>
      <c r="H30" s="51">
        <f>544.32555</f>
        <v>544.32555000000002</v>
      </c>
      <c r="I30" s="51">
        <v>0</v>
      </c>
      <c r="J30" s="51"/>
      <c r="K30" s="51"/>
      <c r="L30" s="52"/>
      <c r="M30" s="53"/>
      <c r="N30" s="36"/>
      <c r="O30" s="4"/>
      <c r="P30" s="4"/>
    </row>
    <row r="31" spans="2:17" ht="16.2" thickBot="1" x14ac:dyDescent="0.35">
      <c r="B31" s="100"/>
      <c r="C31" s="94"/>
      <c r="D31" s="94"/>
      <c r="E31" s="97"/>
      <c r="F31" s="54" t="s">
        <v>42</v>
      </c>
      <c r="G31" s="33">
        <f t="shared" si="5"/>
        <v>0</v>
      </c>
      <c r="H31" s="51"/>
      <c r="I31" s="55">
        <v>0</v>
      </c>
      <c r="J31" s="51"/>
      <c r="K31" s="51"/>
      <c r="L31" s="52"/>
      <c r="M31" s="53"/>
      <c r="N31" s="36"/>
      <c r="O31" s="4"/>
      <c r="P31" s="4"/>
    </row>
    <row r="32" spans="2:17" ht="16.2" thickBot="1" x14ac:dyDescent="0.35">
      <c r="B32" s="100"/>
      <c r="C32" s="94"/>
      <c r="D32" s="94"/>
      <c r="E32" s="97"/>
      <c r="F32" s="50" t="s">
        <v>4</v>
      </c>
      <c r="G32" s="33">
        <f t="shared" si="5"/>
        <v>0</v>
      </c>
      <c r="H32" s="51"/>
      <c r="I32" s="55">
        <v>0</v>
      </c>
      <c r="J32" s="51"/>
      <c r="K32" s="51"/>
      <c r="L32" s="52"/>
      <c r="M32" s="53"/>
      <c r="N32" s="36"/>
      <c r="O32" s="4"/>
      <c r="P32" s="4"/>
    </row>
    <row r="33" spans="2:16" ht="16.2" thickBot="1" x14ac:dyDescent="0.35">
      <c r="B33" s="101"/>
      <c r="C33" s="95"/>
      <c r="D33" s="95"/>
      <c r="E33" s="98"/>
      <c r="F33" s="57" t="s">
        <v>5</v>
      </c>
      <c r="G33" s="33">
        <f t="shared" si="5"/>
        <v>0</v>
      </c>
      <c r="H33" s="58"/>
      <c r="I33" s="58">
        <v>0</v>
      </c>
      <c r="J33" s="58"/>
      <c r="K33" s="58"/>
      <c r="L33" s="59"/>
      <c r="M33" s="60"/>
      <c r="N33" s="36"/>
      <c r="O33" s="4"/>
      <c r="P33" s="4"/>
    </row>
    <row r="34" spans="2:16" ht="15.75" customHeight="1" thickBot="1" x14ac:dyDescent="0.35">
      <c r="B34" s="99" t="s">
        <v>18</v>
      </c>
      <c r="C34" s="93" t="s">
        <v>53</v>
      </c>
      <c r="D34" s="93">
        <v>2022</v>
      </c>
      <c r="E34" s="96" t="s">
        <v>10</v>
      </c>
      <c r="F34" s="44" t="s">
        <v>1</v>
      </c>
      <c r="G34" s="33">
        <f t="shared" si="5"/>
        <v>1017.3816300000001</v>
      </c>
      <c r="H34" s="45">
        <f t="shared" ref="H34:M34" si="16">SUM(H35:H39)</f>
        <v>1017.3816300000001</v>
      </c>
      <c r="I34" s="45">
        <f t="shared" si="16"/>
        <v>0</v>
      </c>
      <c r="J34" s="45">
        <f t="shared" si="16"/>
        <v>0</v>
      </c>
      <c r="K34" s="45">
        <f t="shared" si="16"/>
        <v>0</v>
      </c>
      <c r="L34" s="46">
        <f t="shared" si="16"/>
        <v>0</v>
      </c>
      <c r="M34" s="47">
        <f t="shared" si="16"/>
        <v>0</v>
      </c>
      <c r="N34" s="36">
        <f t="shared" ref="N34" si="17">SUM(N35:N39)</f>
        <v>0</v>
      </c>
      <c r="O34" s="4"/>
      <c r="P34" s="4"/>
    </row>
    <row r="35" spans="2:16" ht="16.2" thickBot="1" x14ac:dyDescent="0.35">
      <c r="B35" s="100"/>
      <c r="C35" s="94"/>
      <c r="D35" s="94"/>
      <c r="E35" s="97"/>
      <c r="F35" s="50" t="s">
        <v>2</v>
      </c>
      <c r="G35" s="33">
        <f t="shared" si="5"/>
        <v>0</v>
      </c>
      <c r="H35" s="51"/>
      <c r="I35" s="51">
        <v>0</v>
      </c>
      <c r="J35" s="51"/>
      <c r="K35" s="51"/>
      <c r="L35" s="52"/>
      <c r="M35" s="53"/>
      <c r="N35" s="36"/>
      <c r="O35" s="4"/>
      <c r="P35" s="4"/>
    </row>
    <row r="36" spans="2:16" ht="16.2" thickBot="1" x14ac:dyDescent="0.35">
      <c r="B36" s="100"/>
      <c r="C36" s="94"/>
      <c r="D36" s="94"/>
      <c r="E36" s="97"/>
      <c r="F36" s="50" t="s">
        <v>3</v>
      </c>
      <c r="G36" s="33">
        <f t="shared" si="5"/>
        <v>0</v>
      </c>
      <c r="H36" s="51"/>
      <c r="I36" s="51">
        <v>0</v>
      </c>
      <c r="J36" s="51"/>
      <c r="K36" s="51"/>
      <c r="L36" s="52"/>
      <c r="M36" s="53"/>
      <c r="N36" s="36"/>
      <c r="O36" s="4"/>
      <c r="P36" s="4"/>
    </row>
    <row r="37" spans="2:16" ht="16.2" thickBot="1" x14ac:dyDescent="0.35">
      <c r="B37" s="100"/>
      <c r="C37" s="94"/>
      <c r="D37" s="94"/>
      <c r="E37" s="97"/>
      <c r="F37" s="54" t="s">
        <v>42</v>
      </c>
      <c r="G37" s="33">
        <f t="shared" si="5"/>
        <v>0</v>
      </c>
      <c r="H37" s="51"/>
      <c r="I37" s="55">
        <v>0</v>
      </c>
      <c r="J37" s="51"/>
      <c r="K37" s="51"/>
      <c r="L37" s="52"/>
      <c r="M37" s="53"/>
      <c r="N37" s="36"/>
      <c r="O37" s="4"/>
      <c r="P37" s="4"/>
    </row>
    <row r="38" spans="2:16" ht="16.2" thickBot="1" x14ac:dyDescent="0.35">
      <c r="B38" s="100"/>
      <c r="C38" s="94"/>
      <c r="D38" s="94"/>
      <c r="E38" s="97"/>
      <c r="F38" s="50" t="s">
        <v>4</v>
      </c>
      <c r="G38" s="33">
        <f t="shared" si="5"/>
        <v>1017.3816300000001</v>
      </c>
      <c r="H38" s="51">
        <f>169.95563+847.426</f>
        <v>1017.3816300000001</v>
      </c>
      <c r="I38" s="55">
        <v>0</v>
      </c>
      <c r="J38" s="51"/>
      <c r="K38" s="51"/>
      <c r="L38" s="52"/>
      <c r="M38" s="53"/>
      <c r="N38" s="36"/>
      <c r="O38" s="4"/>
      <c r="P38" s="4"/>
    </row>
    <row r="39" spans="2:16" ht="16.2" thickBot="1" x14ac:dyDescent="0.35">
      <c r="B39" s="101"/>
      <c r="C39" s="95"/>
      <c r="D39" s="95"/>
      <c r="E39" s="98"/>
      <c r="F39" s="57" t="s">
        <v>5</v>
      </c>
      <c r="G39" s="33">
        <f t="shared" si="5"/>
        <v>0</v>
      </c>
      <c r="H39" s="58"/>
      <c r="I39" s="58">
        <v>0</v>
      </c>
      <c r="J39" s="58"/>
      <c r="K39" s="58"/>
      <c r="L39" s="59"/>
      <c r="M39" s="60"/>
      <c r="N39" s="36"/>
      <c r="O39" s="4"/>
      <c r="P39" s="4"/>
    </row>
    <row r="40" spans="2:16" ht="15.75" customHeight="1" thickBot="1" x14ac:dyDescent="0.35">
      <c r="B40" s="99" t="s">
        <v>22</v>
      </c>
      <c r="C40" s="93" t="s">
        <v>45</v>
      </c>
      <c r="D40" s="93">
        <v>2022</v>
      </c>
      <c r="E40" s="96" t="s">
        <v>10</v>
      </c>
      <c r="F40" s="44" t="s">
        <v>1</v>
      </c>
      <c r="G40" s="33">
        <f t="shared" si="5"/>
        <v>9488</v>
      </c>
      <c r="H40" s="45">
        <f t="shared" ref="H40:M40" si="18">SUM(H41:H45)</f>
        <v>4653</v>
      </c>
      <c r="I40" s="45">
        <f t="shared" si="18"/>
        <v>0</v>
      </c>
      <c r="J40" s="45">
        <f t="shared" si="18"/>
        <v>0</v>
      </c>
      <c r="K40" s="45">
        <f t="shared" si="18"/>
        <v>0</v>
      </c>
      <c r="L40" s="46">
        <f t="shared" si="18"/>
        <v>4835</v>
      </c>
      <c r="M40" s="47">
        <f t="shared" si="18"/>
        <v>0</v>
      </c>
      <c r="N40" s="36">
        <f t="shared" ref="N40" si="19">SUM(N41:N45)</f>
        <v>0</v>
      </c>
      <c r="O40" s="4"/>
      <c r="P40" s="4"/>
    </row>
    <row r="41" spans="2:16" ht="16.2" thickBot="1" x14ac:dyDescent="0.35">
      <c r="B41" s="100"/>
      <c r="C41" s="94"/>
      <c r="D41" s="94"/>
      <c r="E41" s="97"/>
      <c r="F41" s="50" t="s">
        <v>2</v>
      </c>
      <c r="G41" s="33">
        <f t="shared" si="5"/>
        <v>0</v>
      </c>
      <c r="H41" s="51"/>
      <c r="I41" s="51">
        <v>0</v>
      </c>
      <c r="J41" s="51"/>
      <c r="K41" s="51"/>
      <c r="L41" s="52"/>
      <c r="M41" s="53"/>
      <c r="N41" s="36"/>
      <c r="O41" s="4"/>
      <c r="P41" s="4"/>
    </row>
    <row r="42" spans="2:16" ht="16.2" thickBot="1" x14ac:dyDescent="0.35">
      <c r="B42" s="100"/>
      <c r="C42" s="94"/>
      <c r="D42" s="94"/>
      <c r="E42" s="97"/>
      <c r="F42" s="50" t="s">
        <v>3</v>
      </c>
      <c r="G42" s="33">
        <f t="shared" si="5"/>
        <v>2793</v>
      </c>
      <c r="H42" s="51">
        <v>2793</v>
      </c>
      <c r="I42" s="51">
        <v>0</v>
      </c>
      <c r="J42" s="51"/>
      <c r="K42" s="51"/>
      <c r="L42" s="52"/>
      <c r="M42" s="53"/>
      <c r="N42" s="36"/>
      <c r="O42" s="4"/>
      <c r="P42" s="4"/>
    </row>
    <row r="43" spans="2:16" ht="16.2" thickBot="1" x14ac:dyDescent="0.35">
      <c r="B43" s="100"/>
      <c r="C43" s="94"/>
      <c r="D43" s="94"/>
      <c r="E43" s="97"/>
      <c r="F43" s="54" t="s">
        <v>42</v>
      </c>
      <c r="G43" s="33">
        <f t="shared" si="5"/>
        <v>0</v>
      </c>
      <c r="H43" s="51"/>
      <c r="I43" s="55">
        <v>0</v>
      </c>
      <c r="J43" s="51"/>
      <c r="K43" s="51"/>
      <c r="L43" s="52"/>
      <c r="M43" s="53"/>
      <c r="N43" s="36"/>
      <c r="O43" s="4"/>
      <c r="P43" s="4"/>
    </row>
    <row r="44" spans="2:16" ht="16.2" thickBot="1" x14ac:dyDescent="0.35">
      <c r="B44" s="100"/>
      <c r="C44" s="94"/>
      <c r="D44" s="94"/>
      <c r="E44" s="97"/>
      <c r="F44" s="50" t="s">
        <v>4</v>
      </c>
      <c r="G44" s="33">
        <f t="shared" si="5"/>
        <v>6695</v>
      </c>
      <c r="H44" s="51">
        <v>1860</v>
      </c>
      <c r="I44" s="55">
        <v>0</v>
      </c>
      <c r="J44" s="51"/>
      <c r="K44" s="51"/>
      <c r="L44" s="52">
        <v>4835</v>
      </c>
      <c r="M44" s="53"/>
      <c r="N44" s="36"/>
      <c r="O44" s="4"/>
      <c r="P44" s="4"/>
    </row>
    <row r="45" spans="2:16" ht="16.2" thickBot="1" x14ac:dyDescent="0.35">
      <c r="B45" s="101"/>
      <c r="C45" s="95"/>
      <c r="D45" s="95"/>
      <c r="E45" s="98"/>
      <c r="F45" s="57" t="s">
        <v>5</v>
      </c>
      <c r="G45" s="33">
        <f t="shared" si="5"/>
        <v>0</v>
      </c>
      <c r="H45" s="58"/>
      <c r="I45" s="58">
        <v>0</v>
      </c>
      <c r="J45" s="58"/>
      <c r="K45" s="58"/>
      <c r="L45" s="59"/>
      <c r="M45" s="60"/>
      <c r="N45" s="36"/>
      <c r="O45" s="4"/>
      <c r="P45" s="4"/>
    </row>
    <row r="46" spans="2:16" ht="15.75" customHeight="1" thickBot="1" x14ac:dyDescent="0.35">
      <c r="B46" s="99" t="s">
        <v>23</v>
      </c>
      <c r="C46" s="93" t="s">
        <v>28</v>
      </c>
      <c r="D46" s="93" t="s">
        <v>62</v>
      </c>
      <c r="E46" s="96" t="s">
        <v>10</v>
      </c>
      <c r="F46" s="44" t="s">
        <v>1</v>
      </c>
      <c r="G46" s="33">
        <f t="shared" si="5"/>
        <v>9285.9060600000012</v>
      </c>
      <c r="H46" s="45">
        <f t="shared" ref="H46:M46" si="20">SUM(H47:H51)</f>
        <v>2520.4083500000002</v>
      </c>
      <c r="I46" s="45">
        <f t="shared" si="20"/>
        <v>3640.69101</v>
      </c>
      <c r="J46" s="45">
        <f t="shared" si="20"/>
        <v>0</v>
      </c>
      <c r="K46" s="45">
        <f t="shared" si="20"/>
        <v>3124.8067000000001</v>
      </c>
      <c r="L46" s="46">
        <f t="shared" si="20"/>
        <v>0</v>
      </c>
      <c r="M46" s="47">
        <f t="shared" si="20"/>
        <v>0</v>
      </c>
      <c r="N46" s="36">
        <f t="shared" ref="N46" si="21">SUM(N47:N51)</f>
        <v>0</v>
      </c>
      <c r="O46" s="4"/>
      <c r="P46" s="4"/>
    </row>
    <row r="47" spans="2:16" ht="16.2" thickBot="1" x14ac:dyDescent="0.35">
      <c r="B47" s="100"/>
      <c r="C47" s="94"/>
      <c r="D47" s="94"/>
      <c r="E47" s="97"/>
      <c r="F47" s="50" t="s">
        <v>2</v>
      </c>
      <c r="G47" s="33">
        <f t="shared" si="5"/>
        <v>0</v>
      </c>
      <c r="H47" s="51"/>
      <c r="I47" s="51">
        <v>0</v>
      </c>
      <c r="J47" s="51"/>
      <c r="K47" s="51"/>
      <c r="L47" s="52"/>
      <c r="M47" s="53"/>
      <c r="N47" s="36"/>
      <c r="O47" s="4"/>
      <c r="P47" s="4"/>
    </row>
    <row r="48" spans="2:16" ht="16.2" thickBot="1" x14ac:dyDescent="0.35">
      <c r="B48" s="100"/>
      <c r="C48" s="94"/>
      <c r="D48" s="94"/>
      <c r="E48" s="97"/>
      <c r="F48" s="50" t="s">
        <v>3</v>
      </c>
      <c r="G48" s="33">
        <f t="shared" si="5"/>
        <v>0</v>
      </c>
      <c r="H48" s="51"/>
      <c r="I48" s="51">
        <v>0</v>
      </c>
      <c r="J48" s="51"/>
      <c r="K48" s="51"/>
      <c r="L48" s="52"/>
      <c r="M48" s="53"/>
      <c r="N48" s="36"/>
      <c r="O48" s="4"/>
      <c r="P48" s="4"/>
    </row>
    <row r="49" spans="2:16" ht="16.2" thickBot="1" x14ac:dyDescent="0.35">
      <c r="B49" s="100"/>
      <c r="C49" s="94"/>
      <c r="D49" s="94"/>
      <c r="E49" s="97"/>
      <c r="F49" s="54" t="s">
        <v>42</v>
      </c>
      <c r="G49" s="33">
        <f t="shared" si="5"/>
        <v>0</v>
      </c>
      <c r="H49" s="51"/>
      <c r="I49" s="55">
        <v>0</v>
      </c>
      <c r="J49" s="51"/>
      <c r="K49" s="51"/>
      <c r="L49" s="52"/>
      <c r="M49" s="53"/>
      <c r="N49" s="36"/>
      <c r="O49" s="4"/>
      <c r="P49" s="4"/>
    </row>
    <row r="50" spans="2:16" ht="16.2" thickBot="1" x14ac:dyDescent="0.35">
      <c r="B50" s="100"/>
      <c r="C50" s="94"/>
      <c r="D50" s="94"/>
      <c r="E50" s="97"/>
      <c r="F50" s="50" t="s">
        <v>4</v>
      </c>
      <c r="G50" s="33">
        <f t="shared" si="5"/>
        <v>9285.9060600000012</v>
      </c>
      <c r="H50" s="51">
        <v>2520.4083500000002</v>
      </c>
      <c r="I50" s="55">
        <f>2388.46888+1252.22213</f>
        <v>3640.69101</v>
      </c>
      <c r="J50" s="51"/>
      <c r="K50" s="51">
        <v>3124.8067000000001</v>
      </c>
      <c r="L50" s="52"/>
      <c r="M50" s="53"/>
      <c r="N50" s="36"/>
      <c r="O50" s="4"/>
      <c r="P50" s="4"/>
    </row>
    <row r="51" spans="2:16" ht="16.2" thickBot="1" x14ac:dyDescent="0.35">
      <c r="B51" s="101"/>
      <c r="C51" s="95"/>
      <c r="D51" s="95"/>
      <c r="E51" s="98"/>
      <c r="F51" s="57" t="s">
        <v>5</v>
      </c>
      <c r="G51" s="33">
        <f t="shared" si="5"/>
        <v>0</v>
      </c>
      <c r="H51" s="58"/>
      <c r="I51" s="58">
        <v>0</v>
      </c>
      <c r="J51" s="58"/>
      <c r="K51" s="58"/>
      <c r="L51" s="59"/>
      <c r="M51" s="60"/>
      <c r="N51" s="36"/>
      <c r="O51" s="4"/>
      <c r="P51" s="4"/>
    </row>
    <row r="52" spans="2:16" ht="15.75" customHeight="1" thickBot="1" x14ac:dyDescent="0.35">
      <c r="B52" s="99" t="s">
        <v>24</v>
      </c>
      <c r="C52" s="93" t="s">
        <v>38</v>
      </c>
      <c r="D52" s="93">
        <v>2022</v>
      </c>
      <c r="E52" s="96" t="s">
        <v>10</v>
      </c>
      <c r="F52" s="44" t="s">
        <v>1</v>
      </c>
      <c r="G52" s="33">
        <f t="shared" si="5"/>
        <v>8467.9660000000003</v>
      </c>
      <c r="H52" s="45">
        <f t="shared" ref="H52:M52" si="22">SUM(H53:H57)</f>
        <v>8467.9660000000003</v>
      </c>
      <c r="I52" s="45">
        <f t="shared" si="22"/>
        <v>0</v>
      </c>
      <c r="J52" s="45">
        <f t="shared" ref="J52" si="23">SUM(J53:J57)</f>
        <v>0</v>
      </c>
      <c r="K52" s="45">
        <f t="shared" si="22"/>
        <v>0</v>
      </c>
      <c r="L52" s="46">
        <f t="shared" si="22"/>
        <v>0</v>
      </c>
      <c r="M52" s="47">
        <f t="shared" si="22"/>
        <v>0</v>
      </c>
      <c r="N52" s="36">
        <f t="shared" ref="N52" si="24">SUM(N53:N57)</f>
        <v>0</v>
      </c>
      <c r="O52" s="4"/>
      <c r="P52" s="4"/>
    </row>
    <row r="53" spans="2:16" ht="16.2" thickBot="1" x14ac:dyDescent="0.35">
      <c r="B53" s="100"/>
      <c r="C53" s="94"/>
      <c r="D53" s="94"/>
      <c r="E53" s="97"/>
      <c r="F53" s="50" t="s">
        <v>2</v>
      </c>
      <c r="G53" s="33">
        <f t="shared" si="5"/>
        <v>0</v>
      </c>
      <c r="H53" s="51"/>
      <c r="I53" s="51">
        <v>0</v>
      </c>
      <c r="J53" s="51"/>
      <c r="K53" s="51"/>
      <c r="L53" s="52"/>
      <c r="M53" s="53"/>
      <c r="N53" s="36"/>
      <c r="O53" s="4"/>
      <c r="P53" s="4"/>
    </row>
    <row r="54" spans="2:16" ht="16.2" thickBot="1" x14ac:dyDescent="0.35">
      <c r="B54" s="100"/>
      <c r="C54" s="94"/>
      <c r="D54" s="94"/>
      <c r="E54" s="97"/>
      <c r="F54" s="50" t="s">
        <v>3</v>
      </c>
      <c r="G54" s="33">
        <f t="shared" si="5"/>
        <v>0</v>
      </c>
      <c r="H54" s="51"/>
      <c r="I54" s="51">
        <v>0</v>
      </c>
      <c r="J54" s="51"/>
      <c r="K54" s="51"/>
      <c r="L54" s="52"/>
      <c r="M54" s="53"/>
      <c r="N54" s="36"/>
      <c r="O54" s="4"/>
      <c r="P54" s="4"/>
    </row>
    <row r="55" spans="2:16" ht="16.2" thickBot="1" x14ac:dyDescent="0.35">
      <c r="B55" s="100"/>
      <c r="C55" s="94"/>
      <c r="D55" s="94"/>
      <c r="E55" s="97"/>
      <c r="F55" s="54" t="s">
        <v>42</v>
      </c>
      <c r="G55" s="33">
        <f t="shared" si="5"/>
        <v>0</v>
      </c>
      <c r="H55" s="51"/>
      <c r="I55" s="55">
        <v>0</v>
      </c>
      <c r="J55" s="51"/>
      <c r="K55" s="51"/>
      <c r="L55" s="52"/>
      <c r="M55" s="53"/>
      <c r="N55" s="36"/>
      <c r="O55" s="4"/>
      <c r="P55" s="4"/>
    </row>
    <row r="56" spans="2:16" ht="16.2" thickBot="1" x14ac:dyDescent="0.35">
      <c r="B56" s="100"/>
      <c r="C56" s="94"/>
      <c r="D56" s="94"/>
      <c r="E56" s="97"/>
      <c r="F56" s="50" t="s">
        <v>4</v>
      </c>
      <c r="G56" s="33">
        <f t="shared" si="5"/>
        <v>8467.9660000000003</v>
      </c>
      <c r="H56" s="51">
        <f>8467.966</f>
        <v>8467.9660000000003</v>
      </c>
      <c r="I56" s="55">
        <v>0</v>
      </c>
      <c r="J56" s="51"/>
      <c r="K56" s="51"/>
      <c r="L56" s="52"/>
      <c r="M56" s="53"/>
      <c r="N56" s="36"/>
      <c r="O56" s="4"/>
      <c r="P56" s="4"/>
    </row>
    <row r="57" spans="2:16" ht="16.2" thickBot="1" x14ac:dyDescent="0.35">
      <c r="B57" s="101"/>
      <c r="C57" s="95"/>
      <c r="D57" s="95"/>
      <c r="E57" s="98"/>
      <c r="F57" s="57" t="s">
        <v>5</v>
      </c>
      <c r="G57" s="33">
        <f t="shared" si="5"/>
        <v>0</v>
      </c>
      <c r="H57" s="58"/>
      <c r="I57" s="58">
        <v>0</v>
      </c>
      <c r="J57" s="58"/>
      <c r="K57" s="58"/>
      <c r="L57" s="59"/>
      <c r="M57" s="60"/>
      <c r="N57" s="36"/>
      <c r="O57" s="4"/>
      <c r="P57" s="4"/>
    </row>
    <row r="58" spans="2:16" ht="15.75" customHeight="1" thickBot="1" x14ac:dyDescent="0.35">
      <c r="B58" s="99" t="s">
        <v>25</v>
      </c>
      <c r="C58" s="93" t="s">
        <v>54</v>
      </c>
      <c r="D58" s="93" t="s">
        <v>58</v>
      </c>
      <c r="E58" s="96" t="s">
        <v>10</v>
      </c>
      <c r="F58" s="44" t="s">
        <v>1</v>
      </c>
      <c r="G58" s="33">
        <f t="shared" si="5"/>
        <v>20419.358619999999</v>
      </c>
      <c r="H58" s="45">
        <f t="shared" ref="H58:M58" si="25">SUM(H59:H63)</f>
        <v>1336.8627900000001</v>
      </c>
      <c r="I58" s="45">
        <f t="shared" si="25"/>
        <v>1603.4958299999998</v>
      </c>
      <c r="J58" s="45">
        <f t="shared" ref="J58" si="26">SUM(J59:J63)</f>
        <v>3000</v>
      </c>
      <c r="K58" s="45">
        <f t="shared" si="25"/>
        <v>4475</v>
      </c>
      <c r="L58" s="46">
        <f t="shared" si="25"/>
        <v>5002</v>
      </c>
      <c r="M58" s="47">
        <f t="shared" si="25"/>
        <v>5002</v>
      </c>
      <c r="N58" s="36">
        <f t="shared" ref="N58" si="27">SUM(N59:N63)</f>
        <v>0</v>
      </c>
      <c r="O58" s="4"/>
      <c r="P58" s="4"/>
    </row>
    <row r="59" spans="2:16" ht="16.2" thickBot="1" x14ac:dyDescent="0.35">
      <c r="B59" s="100"/>
      <c r="C59" s="94"/>
      <c r="D59" s="94"/>
      <c r="E59" s="97"/>
      <c r="F59" s="50" t="s">
        <v>2</v>
      </c>
      <c r="G59" s="33">
        <f t="shared" si="5"/>
        <v>0</v>
      </c>
      <c r="H59" s="51"/>
      <c r="I59" s="51">
        <v>0</v>
      </c>
      <c r="J59" s="51"/>
      <c r="K59" s="51"/>
      <c r="L59" s="52"/>
      <c r="M59" s="53"/>
      <c r="N59" s="36"/>
      <c r="O59" s="4"/>
      <c r="P59" s="4"/>
    </row>
    <row r="60" spans="2:16" ht="16.2" thickBot="1" x14ac:dyDescent="0.35">
      <c r="B60" s="100"/>
      <c r="C60" s="94"/>
      <c r="D60" s="94"/>
      <c r="E60" s="97"/>
      <c r="F60" s="50" t="s">
        <v>3</v>
      </c>
      <c r="G60" s="33">
        <f t="shared" si="5"/>
        <v>0</v>
      </c>
      <c r="H60" s="51"/>
      <c r="I60" s="51">
        <v>0</v>
      </c>
      <c r="J60" s="51"/>
      <c r="K60" s="51"/>
      <c r="L60" s="52"/>
      <c r="M60" s="53"/>
      <c r="N60" s="36"/>
      <c r="O60" s="4"/>
      <c r="P60" s="4"/>
    </row>
    <row r="61" spans="2:16" ht="16.2" thickBot="1" x14ac:dyDescent="0.35">
      <c r="B61" s="100"/>
      <c r="C61" s="94"/>
      <c r="D61" s="94"/>
      <c r="E61" s="97"/>
      <c r="F61" s="54" t="s">
        <v>42</v>
      </c>
      <c r="G61" s="33">
        <f t="shared" si="5"/>
        <v>0</v>
      </c>
      <c r="H61" s="51"/>
      <c r="I61" s="55">
        <v>0</v>
      </c>
      <c r="J61" s="51"/>
      <c r="K61" s="51"/>
      <c r="L61" s="52"/>
      <c r="M61" s="53"/>
      <c r="N61" s="36"/>
      <c r="O61" s="4"/>
      <c r="P61" s="4"/>
    </row>
    <row r="62" spans="2:16" ht="16.2" thickBot="1" x14ac:dyDescent="0.35">
      <c r="B62" s="100"/>
      <c r="C62" s="94"/>
      <c r="D62" s="94"/>
      <c r="E62" s="97"/>
      <c r="F62" s="50" t="s">
        <v>4</v>
      </c>
      <c r="G62" s="33">
        <f t="shared" si="5"/>
        <v>20419.358619999999</v>
      </c>
      <c r="H62" s="51">
        <f>1691.5-354.63721</f>
        <v>1336.8627900000001</v>
      </c>
      <c r="I62" s="55">
        <v>1603.4958299999998</v>
      </c>
      <c r="J62" s="51">
        <v>3000</v>
      </c>
      <c r="K62" s="51">
        <v>4475</v>
      </c>
      <c r="L62" s="52">
        <v>5002</v>
      </c>
      <c r="M62" s="53">
        <v>5002</v>
      </c>
      <c r="N62" s="36">
        <v>0</v>
      </c>
      <c r="O62" s="4"/>
      <c r="P62" s="56"/>
    </row>
    <row r="63" spans="2:16" ht="16.2" thickBot="1" x14ac:dyDescent="0.35">
      <c r="B63" s="101"/>
      <c r="C63" s="95"/>
      <c r="D63" s="95"/>
      <c r="E63" s="98"/>
      <c r="F63" s="57" t="s">
        <v>5</v>
      </c>
      <c r="G63" s="33">
        <f t="shared" si="5"/>
        <v>0</v>
      </c>
      <c r="H63" s="58"/>
      <c r="I63" s="58">
        <v>0</v>
      </c>
      <c r="J63" s="58"/>
      <c r="K63" s="58"/>
      <c r="L63" s="59"/>
      <c r="M63" s="60"/>
      <c r="N63" s="36"/>
      <c r="O63" s="4"/>
      <c r="P63" s="4"/>
    </row>
    <row r="64" spans="2:16" ht="15.75" customHeight="1" thickBot="1" x14ac:dyDescent="0.35">
      <c r="B64" s="99" t="s">
        <v>26</v>
      </c>
      <c r="C64" s="93" t="s">
        <v>39</v>
      </c>
      <c r="D64" s="93" t="s">
        <v>64</v>
      </c>
      <c r="E64" s="96" t="s">
        <v>20</v>
      </c>
      <c r="F64" s="44" t="s">
        <v>1</v>
      </c>
      <c r="G64" s="33">
        <f t="shared" si="5"/>
        <v>3450</v>
      </c>
      <c r="H64" s="45">
        <f t="shared" ref="H64:M64" si="28">SUM(H65:H69)</f>
        <v>145</v>
      </c>
      <c r="I64" s="45">
        <f t="shared" si="28"/>
        <v>0</v>
      </c>
      <c r="J64" s="45">
        <f t="shared" si="28"/>
        <v>0</v>
      </c>
      <c r="K64" s="45">
        <f t="shared" si="28"/>
        <v>810</v>
      </c>
      <c r="L64" s="46">
        <f t="shared" si="28"/>
        <v>495</v>
      </c>
      <c r="M64" s="47">
        <f t="shared" si="28"/>
        <v>1000</v>
      </c>
      <c r="N64" s="36">
        <f t="shared" ref="N64" si="29">SUM(N65:N69)</f>
        <v>1000</v>
      </c>
      <c r="O64" s="4"/>
      <c r="P64" s="4"/>
    </row>
    <row r="65" spans="2:16" ht="16.2" thickBot="1" x14ac:dyDescent="0.35">
      <c r="B65" s="100"/>
      <c r="C65" s="94"/>
      <c r="D65" s="94"/>
      <c r="E65" s="97"/>
      <c r="F65" s="50" t="s">
        <v>2</v>
      </c>
      <c r="G65" s="33">
        <f t="shared" si="5"/>
        <v>0</v>
      </c>
      <c r="H65" s="51"/>
      <c r="I65" s="51">
        <v>0</v>
      </c>
      <c r="J65" s="51"/>
      <c r="K65" s="51"/>
      <c r="L65" s="52"/>
      <c r="M65" s="53"/>
      <c r="N65" s="36"/>
      <c r="O65" s="4"/>
      <c r="P65" s="4"/>
    </row>
    <row r="66" spans="2:16" ht="16.2" thickBot="1" x14ac:dyDescent="0.35">
      <c r="B66" s="100"/>
      <c r="C66" s="94"/>
      <c r="D66" s="94"/>
      <c r="E66" s="97"/>
      <c r="F66" s="50" t="s">
        <v>3</v>
      </c>
      <c r="G66" s="33">
        <f t="shared" si="5"/>
        <v>0</v>
      </c>
      <c r="H66" s="51"/>
      <c r="I66" s="51">
        <v>0</v>
      </c>
      <c r="J66" s="51"/>
      <c r="K66" s="51"/>
      <c r="L66" s="52"/>
      <c r="M66" s="53"/>
      <c r="N66" s="36"/>
      <c r="O66" s="4"/>
      <c r="P66" s="4"/>
    </row>
    <row r="67" spans="2:16" ht="16.2" thickBot="1" x14ac:dyDescent="0.35">
      <c r="B67" s="100"/>
      <c r="C67" s="94"/>
      <c r="D67" s="94"/>
      <c r="E67" s="97"/>
      <c r="F67" s="54" t="s">
        <v>42</v>
      </c>
      <c r="G67" s="33">
        <f t="shared" si="5"/>
        <v>0</v>
      </c>
      <c r="H67" s="51"/>
      <c r="I67" s="55">
        <v>0</v>
      </c>
      <c r="J67" s="51"/>
      <c r="K67" s="51"/>
      <c r="L67" s="52"/>
      <c r="M67" s="53"/>
      <c r="N67" s="36"/>
      <c r="O67" s="4"/>
      <c r="P67" s="4"/>
    </row>
    <row r="68" spans="2:16" ht="16.2" thickBot="1" x14ac:dyDescent="0.35">
      <c r="B68" s="100"/>
      <c r="C68" s="94"/>
      <c r="D68" s="94"/>
      <c r="E68" s="97"/>
      <c r="F68" s="50" t="s">
        <v>4</v>
      </c>
      <c r="G68" s="33">
        <f t="shared" si="5"/>
        <v>3450</v>
      </c>
      <c r="H68" s="51">
        <v>145</v>
      </c>
      <c r="I68" s="55">
        <v>0</v>
      </c>
      <c r="J68" s="51">
        <f>600-600</f>
        <v>0</v>
      </c>
      <c r="K68" s="51">
        <v>810</v>
      </c>
      <c r="L68" s="52">
        <f>895.08812-400.08812</f>
        <v>495</v>
      </c>
      <c r="M68" s="53">
        <v>1000</v>
      </c>
      <c r="N68" s="36">
        <v>1000</v>
      </c>
      <c r="O68" s="4"/>
      <c r="P68" s="4"/>
    </row>
    <row r="69" spans="2:16" ht="16.2" thickBot="1" x14ac:dyDescent="0.35">
      <c r="B69" s="123"/>
      <c r="C69" s="124"/>
      <c r="D69" s="124"/>
      <c r="E69" s="89"/>
      <c r="F69" s="61" t="s">
        <v>5</v>
      </c>
      <c r="G69" s="33">
        <f t="shared" si="5"/>
        <v>0</v>
      </c>
      <c r="H69" s="62"/>
      <c r="I69" s="62">
        <v>0</v>
      </c>
      <c r="J69" s="62"/>
      <c r="K69" s="62"/>
      <c r="L69" s="63"/>
      <c r="M69" s="64"/>
      <c r="N69" s="36"/>
      <c r="O69" s="4"/>
      <c r="P69" s="4"/>
    </row>
    <row r="70" spans="2:16" ht="15.75" customHeight="1" thickBot="1" x14ac:dyDescent="0.35">
      <c r="B70" s="99" t="s">
        <v>27</v>
      </c>
      <c r="C70" s="93" t="s">
        <v>56</v>
      </c>
      <c r="D70" s="93">
        <v>2024</v>
      </c>
      <c r="E70" s="96" t="s">
        <v>10</v>
      </c>
      <c r="F70" s="44" t="s">
        <v>1</v>
      </c>
      <c r="G70" s="33">
        <f t="shared" si="5"/>
        <v>9300</v>
      </c>
      <c r="H70" s="45">
        <f>SUM(H71:H75)</f>
        <v>0</v>
      </c>
      <c r="I70" s="45">
        <v>0</v>
      </c>
      <c r="J70" s="45">
        <f>SUM(J71:J75)</f>
        <v>9300</v>
      </c>
      <c r="K70" s="45">
        <f>SUM(K71:K75)</f>
        <v>0</v>
      </c>
      <c r="L70" s="46">
        <f>SUM(L71:L75)</f>
        <v>0</v>
      </c>
      <c r="M70" s="47">
        <f>SUM(M71:M75)</f>
        <v>0</v>
      </c>
      <c r="N70" s="36">
        <f>SUM(N71:N75)</f>
        <v>0</v>
      </c>
      <c r="O70" s="4"/>
      <c r="P70" s="4"/>
    </row>
    <row r="71" spans="2:16" ht="16.2" thickBot="1" x14ac:dyDescent="0.35">
      <c r="B71" s="100"/>
      <c r="C71" s="94"/>
      <c r="D71" s="94"/>
      <c r="E71" s="97"/>
      <c r="F71" s="50" t="s">
        <v>2</v>
      </c>
      <c r="G71" s="33">
        <f t="shared" si="5"/>
        <v>0</v>
      </c>
      <c r="H71" s="51"/>
      <c r="I71" s="51"/>
      <c r="J71" s="51"/>
      <c r="K71" s="51"/>
      <c r="L71" s="52"/>
      <c r="M71" s="53"/>
      <c r="N71" s="36"/>
      <c r="O71" s="4"/>
      <c r="P71" s="4"/>
    </row>
    <row r="72" spans="2:16" ht="16.2" thickBot="1" x14ac:dyDescent="0.35">
      <c r="B72" s="100"/>
      <c r="C72" s="94"/>
      <c r="D72" s="94"/>
      <c r="E72" s="97"/>
      <c r="F72" s="50" t="s">
        <v>3</v>
      </c>
      <c r="G72" s="33">
        <f t="shared" si="5"/>
        <v>8835</v>
      </c>
      <c r="H72" s="51"/>
      <c r="I72" s="51"/>
      <c r="J72" s="51">
        <v>8835</v>
      </c>
      <c r="K72" s="51"/>
      <c r="L72" s="52"/>
      <c r="M72" s="53"/>
      <c r="N72" s="36"/>
      <c r="O72" s="4"/>
      <c r="P72" s="4"/>
    </row>
    <row r="73" spans="2:16" ht="16.2" thickBot="1" x14ac:dyDescent="0.35">
      <c r="B73" s="100"/>
      <c r="C73" s="94"/>
      <c r="D73" s="94"/>
      <c r="E73" s="97"/>
      <c r="F73" s="54" t="s">
        <v>42</v>
      </c>
      <c r="G73" s="33">
        <f t="shared" si="5"/>
        <v>0</v>
      </c>
      <c r="H73" s="51"/>
      <c r="I73" s="55"/>
      <c r="J73" s="51"/>
      <c r="K73" s="51"/>
      <c r="L73" s="52"/>
      <c r="M73" s="53"/>
      <c r="N73" s="36"/>
      <c r="O73" s="4"/>
      <c r="P73" s="56"/>
    </row>
    <row r="74" spans="2:16" ht="16.2" thickBot="1" x14ac:dyDescent="0.35">
      <c r="B74" s="100"/>
      <c r="C74" s="94"/>
      <c r="D74" s="94"/>
      <c r="E74" s="97"/>
      <c r="F74" s="50" t="s">
        <v>4</v>
      </c>
      <c r="G74" s="33">
        <f t="shared" si="5"/>
        <v>465</v>
      </c>
      <c r="H74" s="51"/>
      <c r="I74" s="55"/>
      <c r="J74" s="51">
        <v>465</v>
      </c>
      <c r="K74" s="51"/>
      <c r="L74" s="52"/>
      <c r="M74" s="53"/>
      <c r="N74" s="36"/>
      <c r="O74" s="4"/>
      <c r="P74" s="4"/>
    </row>
    <row r="75" spans="2:16" ht="16.2" thickBot="1" x14ac:dyDescent="0.35">
      <c r="B75" s="123"/>
      <c r="C75" s="124"/>
      <c r="D75" s="124"/>
      <c r="E75" s="89"/>
      <c r="F75" s="61" t="s">
        <v>5</v>
      </c>
      <c r="G75" s="33">
        <f t="shared" si="5"/>
        <v>0</v>
      </c>
      <c r="H75" s="62"/>
      <c r="I75" s="62"/>
      <c r="J75" s="62"/>
      <c r="K75" s="62"/>
      <c r="L75" s="63"/>
      <c r="M75" s="64"/>
      <c r="N75" s="36"/>
      <c r="O75" s="4"/>
      <c r="P75" s="4"/>
    </row>
    <row r="76" spans="2:16" ht="15.75" customHeight="1" thickBot="1" x14ac:dyDescent="0.35">
      <c r="B76" s="102" t="s">
        <v>29</v>
      </c>
      <c r="C76" s="105" t="s">
        <v>30</v>
      </c>
      <c r="D76" s="105" t="s">
        <v>63</v>
      </c>
      <c r="E76" s="108" t="s">
        <v>10</v>
      </c>
      <c r="F76" s="32" t="s">
        <v>1</v>
      </c>
      <c r="G76" s="33">
        <f t="shared" si="5"/>
        <v>912115.95655</v>
      </c>
      <c r="H76" s="34">
        <f t="shared" ref="H76:M80" si="30">SUM(H82,H88,H94,H100,H106,H112,H118,H124)</f>
        <v>328648.64259000006</v>
      </c>
      <c r="I76" s="34">
        <f t="shared" si="30"/>
        <v>129726.30537999999</v>
      </c>
      <c r="J76" s="34">
        <f t="shared" si="30"/>
        <v>82247.243730000017</v>
      </c>
      <c r="K76" s="34">
        <f t="shared" si="30"/>
        <v>84807.270470000018</v>
      </c>
      <c r="L76" s="34">
        <f t="shared" si="30"/>
        <v>262690.49437999999</v>
      </c>
      <c r="M76" s="35">
        <f t="shared" si="30"/>
        <v>18996</v>
      </c>
      <c r="N76" s="36">
        <f t="shared" ref="N76" si="31">SUM(N82,N88,N94,N100,N106,N112,N118,N124)</f>
        <v>5000</v>
      </c>
      <c r="O76" s="4"/>
      <c r="P76" s="4"/>
    </row>
    <row r="77" spans="2:16" ht="16.2" thickBot="1" x14ac:dyDescent="0.35">
      <c r="B77" s="103"/>
      <c r="C77" s="106"/>
      <c r="D77" s="106"/>
      <c r="E77" s="109"/>
      <c r="F77" s="37" t="s">
        <v>2</v>
      </c>
      <c r="G77" s="33">
        <f t="shared" si="5"/>
        <v>578570.96771</v>
      </c>
      <c r="H77" s="38">
        <f t="shared" si="30"/>
        <v>214464.23910999999</v>
      </c>
      <c r="I77" s="38">
        <f t="shared" si="30"/>
        <v>105124.2</v>
      </c>
      <c r="J77" s="38">
        <f t="shared" si="30"/>
        <v>54211.172400000003</v>
      </c>
      <c r="K77" s="38">
        <f t="shared" si="30"/>
        <v>53064.856200000002</v>
      </c>
      <c r="L77" s="38">
        <f t="shared" si="30"/>
        <v>151706.5</v>
      </c>
      <c r="M77" s="39">
        <f t="shared" si="30"/>
        <v>0</v>
      </c>
      <c r="N77" s="36">
        <f t="shared" ref="N77" si="32">SUM(N83,N89,N95,N101,N107,N113,N119,N125)</f>
        <v>0</v>
      </c>
      <c r="O77" s="4"/>
      <c r="P77" s="4"/>
    </row>
    <row r="78" spans="2:16" ht="16.2" thickBot="1" x14ac:dyDescent="0.35">
      <c r="B78" s="103"/>
      <c r="C78" s="106"/>
      <c r="D78" s="106"/>
      <c r="E78" s="109"/>
      <c r="F78" s="37" t="s">
        <v>3</v>
      </c>
      <c r="G78" s="33">
        <f t="shared" si="5"/>
        <v>75476.359790000002</v>
      </c>
      <c r="H78" s="38">
        <f t="shared" si="30"/>
        <v>2166.30546</v>
      </c>
      <c r="I78" s="38">
        <f t="shared" si="30"/>
        <v>955.67455000000007</v>
      </c>
      <c r="J78" s="38">
        <f t="shared" si="30"/>
        <v>492.82884000000001</v>
      </c>
      <c r="K78" s="38">
        <f t="shared" si="30"/>
        <v>482.40057999999999</v>
      </c>
      <c r="L78" s="38">
        <f>SUM(L84,L90,L96,L102,L108,L114,L120,L126)</f>
        <v>71379.15036</v>
      </c>
      <c r="M78" s="39">
        <f t="shared" si="30"/>
        <v>0</v>
      </c>
      <c r="N78" s="65">
        <f t="shared" ref="N78" si="33">SUM(N84,N90,N96,N102,N108,N114,N120,N126)</f>
        <v>0</v>
      </c>
      <c r="O78" s="38">
        <f>SUM(P84,P90,P96,P102,P108,P114,P120,P126)</f>
        <v>0</v>
      </c>
      <c r="P78" s="4"/>
    </row>
    <row r="79" spans="2:16" ht="16.2" thickBot="1" x14ac:dyDescent="0.35">
      <c r="B79" s="103"/>
      <c r="C79" s="106"/>
      <c r="D79" s="106"/>
      <c r="E79" s="109"/>
      <c r="F79" s="40" t="s">
        <v>42</v>
      </c>
      <c r="G79" s="33">
        <f t="shared" si="5"/>
        <v>123785.89015000001</v>
      </c>
      <c r="H79" s="38">
        <f t="shared" si="30"/>
        <v>70000</v>
      </c>
      <c r="I79" s="38">
        <f t="shared" si="30"/>
        <v>2685.3119999999999</v>
      </c>
      <c r="J79" s="38">
        <f t="shared" si="30"/>
        <v>22306.55</v>
      </c>
      <c r="K79" s="38">
        <f t="shared" si="30"/>
        <v>8794.0281500000001</v>
      </c>
      <c r="L79" s="38">
        <f t="shared" si="30"/>
        <v>20000</v>
      </c>
      <c r="M79" s="39">
        <f t="shared" si="30"/>
        <v>0</v>
      </c>
      <c r="N79" s="36">
        <f t="shared" ref="N79" si="34">SUM(N85,N91,N97,N103,N109,N115,N121,N127)</f>
        <v>0</v>
      </c>
      <c r="O79" s="4"/>
      <c r="P79" s="4"/>
    </row>
    <row r="80" spans="2:16" ht="16.2" thickBot="1" x14ac:dyDescent="0.35">
      <c r="B80" s="103"/>
      <c r="C80" s="106"/>
      <c r="D80" s="106"/>
      <c r="E80" s="109"/>
      <c r="F80" s="37" t="s">
        <v>4</v>
      </c>
      <c r="G80" s="33">
        <f t="shared" si="5"/>
        <v>134282.7389</v>
      </c>
      <c r="H80" s="38">
        <f t="shared" si="30"/>
        <v>42018.098020000005</v>
      </c>
      <c r="I80" s="38">
        <f t="shared" si="30"/>
        <v>20961.118829999999</v>
      </c>
      <c r="J80" s="38">
        <f t="shared" si="30"/>
        <v>5236.6924900000004</v>
      </c>
      <c r="K80" s="38">
        <f>SUM(K86,K92,K98,K104,K110,K116,K122,K128)</f>
        <v>22465.985539999998</v>
      </c>
      <c r="L80" s="38">
        <f>SUM(L86,L92,L98,L104,L110,L116,L122,L128)</f>
        <v>19604.84402</v>
      </c>
      <c r="M80" s="39">
        <f t="shared" si="30"/>
        <v>18996</v>
      </c>
      <c r="N80" s="36">
        <f t="shared" ref="N80" si="35">SUM(N86,N92,N98,N104,N110,N116,N122,N128)</f>
        <v>5000</v>
      </c>
      <c r="O80" s="4"/>
      <c r="P80" s="4"/>
    </row>
    <row r="81" spans="2:17" ht="16.2" thickBot="1" x14ac:dyDescent="0.35">
      <c r="B81" s="104"/>
      <c r="C81" s="107"/>
      <c r="D81" s="107"/>
      <c r="E81" s="110"/>
      <c r="F81" s="41" t="s">
        <v>5</v>
      </c>
      <c r="G81" s="33">
        <f t="shared" ref="G81:G135" si="36">SUM(H81:N81)</f>
        <v>0</v>
      </c>
      <c r="H81" s="42">
        <f t="shared" ref="H81:M81" si="37">SUM(H87,H93,H99,H111,H117,H123,H129)</f>
        <v>0</v>
      </c>
      <c r="I81" s="42">
        <f t="shared" si="37"/>
        <v>0</v>
      </c>
      <c r="J81" s="42">
        <f t="shared" si="37"/>
        <v>0</v>
      </c>
      <c r="K81" s="42">
        <f t="shared" si="37"/>
        <v>0</v>
      </c>
      <c r="L81" s="42">
        <f t="shared" si="37"/>
        <v>0</v>
      </c>
      <c r="M81" s="43">
        <f t="shared" si="37"/>
        <v>0</v>
      </c>
      <c r="N81" s="36">
        <f t="shared" ref="N81" si="38">SUM(N87,N93,N99,N111,N117,N123,N129)</f>
        <v>0</v>
      </c>
      <c r="O81" s="4"/>
      <c r="P81" s="4"/>
    </row>
    <row r="82" spans="2:17" ht="15.75" customHeight="1" thickBot="1" x14ac:dyDescent="0.35">
      <c r="B82" s="99" t="s">
        <v>19</v>
      </c>
      <c r="C82" s="93" t="s">
        <v>40</v>
      </c>
      <c r="D82" s="93" t="s">
        <v>65</v>
      </c>
      <c r="E82" s="96" t="s">
        <v>10</v>
      </c>
      <c r="F82" s="44" t="s">
        <v>1</v>
      </c>
      <c r="G82" s="33">
        <f t="shared" si="36"/>
        <v>774398.07419000007</v>
      </c>
      <c r="H82" s="45">
        <f t="shared" ref="H82:M82" si="39">SUM(H83:H87)</f>
        <v>301704.48481000005</v>
      </c>
      <c r="I82" s="45">
        <f t="shared" si="39"/>
        <v>116536.15788</v>
      </c>
      <c r="J82" s="45">
        <f>SUM(J83:J87)</f>
        <v>54829.579480000008</v>
      </c>
      <c r="K82" s="45">
        <f t="shared" si="39"/>
        <v>53600.857640000002</v>
      </c>
      <c r="L82" s="46">
        <f t="shared" si="39"/>
        <v>247726.99437999999</v>
      </c>
      <c r="M82" s="47">
        <f t="shared" si="39"/>
        <v>0</v>
      </c>
      <c r="N82" s="36">
        <f t="shared" ref="N82" si="40">SUM(N83:N87)</f>
        <v>0</v>
      </c>
      <c r="O82" s="4"/>
      <c r="P82" s="4"/>
    </row>
    <row r="83" spans="2:17" ht="16.2" thickBot="1" x14ac:dyDescent="0.35">
      <c r="B83" s="100"/>
      <c r="C83" s="94"/>
      <c r="D83" s="94"/>
      <c r="E83" s="97"/>
      <c r="F83" s="50" t="s">
        <v>2</v>
      </c>
      <c r="G83" s="33">
        <f t="shared" si="36"/>
        <v>578570.96771</v>
      </c>
      <c r="H83" s="51">
        <f>227578.56939-15.64974-8602.68606-211.92882-4284.06566</f>
        <v>214464.23910999999</v>
      </c>
      <c r="I83" s="51">
        <f>95319.51952+9900-95.31952</f>
        <v>105124.2</v>
      </c>
      <c r="J83" s="51">
        <v>54211.172400000003</v>
      </c>
      <c r="K83" s="51">
        <v>53064.856200000002</v>
      </c>
      <c r="L83" s="53">
        <f>107263.76376+44594.59459-151.85799-0.00036</f>
        <v>151706.5</v>
      </c>
      <c r="M83" s="53"/>
      <c r="N83" s="36"/>
      <c r="O83" s="4"/>
      <c r="P83" s="4"/>
    </row>
    <row r="84" spans="2:17" ht="16.2" thickBot="1" x14ac:dyDescent="0.35">
      <c r="B84" s="100"/>
      <c r="C84" s="94"/>
      <c r="D84" s="94"/>
      <c r="E84" s="97"/>
      <c r="F84" s="50" t="s">
        <v>3</v>
      </c>
      <c r="G84" s="33">
        <f t="shared" si="36"/>
        <v>75476.359790000002</v>
      </c>
      <c r="H84" s="51">
        <f>2068.89609+15.64974-86.89582+211.92882-43.27337</f>
        <v>2166.30546</v>
      </c>
      <c r="I84" s="51">
        <f>866.54109+90-0.86654</f>
        <v>955.67455000000007</v>
      </c>
      <c r="J84" s="51">
        <v>492.82884000000001</v>
      </c>
      <c r="K84" s="51">
        <v>482.40057999999999</v>
      </c>
      <c r="L84" s="66">
        <f>71379.15036</f>
        <v>71379.15036</v>
      </c>
      <c r="M84" s="67"/>
      <c r="N84" s="36"/>
      <c r="O84" s="68"/>
      <c r="P84" s="4"/>
    </row>
    <row r="85" spans="2:17" ht="16.2" thickBot="1" x14ac:dyDescent="0.35">
      <c r="B85" s="100"/>
      <c r="C85" s="94"/>
      <c r="D85" s="94"/>
      <c r="E85" s="97"/>
      <c r="F85" s="54" t="s">
        <v>42</v>
      </c>
      <c r="G85" s="33">
        <f t="shared" si="36"/>
        <v>90000</v>
      </c>
      <c r="H85" s="51">
        <f>70000+52984.7768-52984.7768</f>
        <v>70000</v>
      </c>
      <c r="I85" s="55">
        <v>0</v>
      </c>
      <c r="J85" s="51"/>
      <c r="K85" s="51"/>
      <c r="L85" s="52">
        <v>20000</v>
      </c>
      <c r="M85" s="53"/>
      <c r="N85" s="36"/>
      <c r="O85" s="4"/>
      <c r="P85" s="56"/>
    </row>
    <row r="86" spans="2:17" ht="16.2" thickBot="1" x14ac:dyDescent="0.35">
      <c r="B86" s="100"/>
      <c r="C86" s="94"/>
      <c r="D86" s="94"/>
      <c r="E86" s="97"/>
      <c r="F86" s="50" t="s">
        <v>4</v>
      </c>
      <c r="G86" s="33">
        <f t="shared" si="36"/>
        <v>30350.74669</v>
      </c>
      <c r="H86" s="51">
        <f>70.07007+53.03782+14677.4148+273.41755</f>
        <v>15073.94024</v>
      </c>
      <c r="I86" s="55">
        <v>10456.28333</v>
      </c>
      <c r="J86" s="51">
        <f>54.75876-4167.79561+70.81948+1067.79561+3100</f>
        <v>125.57823999999982</v>
      </c>
      <c r="K86" s="51">
        <v>53.600859999999997</v>
      </c>
      <c r="L86" s="52">
        <f>4621.324+20.02002</f>
        <v>4641.3440199999995</v>
      </c>
      <c r="M86" s="53"/>
      <c r="N86" s="36"/>
      <c r="O86" s="4"/>
      <c r="P86" s="56"/>
      <c r="Q86" s="69"/>
    </row>
    <row r="87" spans="2:17" ht="16.2" thickBot="1" x14ac:dyDescent="0.35">
      <c r="B87" s="101"/>
      <c r="C87" s="95"/>
      <c r="D87" s="95"/>
      <c r="E87" s="98"/>
      <c r="F87" s="57" t="s">
        <v>5</v>
      </c>
      <c r="G87" s="33">
        <f t="shared" si="36"/>
        <v>0</v>
      </c>
      <c r="H87" s="58">
        <v>0</v>
      </c>
      <c r="I87" s="58">
        <v>0</v>
      </c>
      <c r="J87" s="58"/>
      <c r="K87" s="58"/>
      <c r="L87" s="59"/>
      <c r="M87" s="60"/>
      <c r="N87" s="36"/>
      <c r="O87" s="4" t="s">
        <v>49</v>
      </c>
      <c r="P87" s="4"/>
    </row>
    <row r="88" spans="2:17" ht="15.75" customHeight="1" thickBot="1" x14ac:dyDescent="0.35">
      <c r="B88" s="99" t="s">
        <v>31</v>
      </c>
      <c r="C88" s="93" t="s">
        <v>52</v>
      </c>
      <c r="D88" s="93">
        <v>2022</v>
      </c>
      <c r="E88" s="96" t="s">
        <v>10</v>
      </c>
      <c r="F88" s="44" t="s">
        <v>1</v>
      </c>
      <c r="G88" s="33">
        <f t="shared" si="36"/>
        <v>7446.5277800000003</v>
      </c>
      <c r="H88" s="45">
        <f t="shared" ref="H88:M88" si="41">SUM(H89:H93)</f>
        <v>7446.5277800000003</v>
      </c>
      <c r="I88" s="45">
        <f t="shared" si="41"/>
        <v>0</v>
      </c>
      <c r="J88" s="45">
        <f t="shared" si="41"/>
        <v>0</v>
      </c>
      <c r="K88" s="45">
        <f t="shared" si="41"/>
        <v>0</v>
      </c>
      <c r="L88" s="46">
        <f t="shared" si="41"/>
        <v>0</v>
      </c>
      <c r="M88" s="47">
        <f t="shared" si="41"/>
        <v>0</v>
      </c>
      <c r="N88" s="36">
        <f t="shared" ref="N88" si="42">SUM(N89:N93)</f>
        <v>0</v>
      </c>
      <c r="O88" s="4"/>
      <c r="P88" s="4"/>
    </row>
    <row r="89" spans="2:17" ht="16.2" thickBot="1" x14ac:dyDescent="0.35">
      <c r="B89" s="100"/>
      <c r="C89" s="94"/>
      <c r="D89" s="94"/>
      <c r="E89" s="97"/>
      <c r="F89" s="50" t="s">
        <v>2</v>
      </c>
      <c r="G89" s="33">
        <f t="shared" si="36"/>
        <v>0</v>
      </c>
      <c r="H89" s="51"/>
      <c r="I89" s="51">
        <v>0</v>
      </c>
      <c r="J89" s="51"/>
      <c r="K89" s="51"/>
      <c r="L89" s="52"/>
      <c r="M89" s="53"/>
      <c r="N89" s="36"/>
      <c r="O89" s="4"/>
      <c r="P89" s="4"/>
    </row>
    <row r="90" spans="2:17" ht="16.2" thickBot="1" x14ac:dyDescent="0.35">
      <c r="B90" s="100"/>
      <c r="C90" s="94"/>
      <c r="D90" s="94"/>
      <c r="E90" s="97"/>
      <c r="F90" s="50" t="s">
        <v>3</v>
      </c>
      <c r="G90" s="33">
        <f t="shared" si="36"/>
        <v>0</v>
      </c>
      <c r="H90" s="51"/>
      <c r="I90" s="51">
        <v>0</v>
      </c>
      <c r="J90" s="51"/>
      <c r="K90" s="51"/>
      <c r="L90" s="52"/>
      <c r="M90" s="53"/>
      <c r="N90" s="36"/>
      <c r="O90" s="4"/>
      <c r="P90" s="4"/>
    </row>
    <row r="91" spans="2:17" ht="16.2" thickBot="1" x14ac:dyDescent="0.35">
      <c r="B91" s="100"/>
      <c r="C91" s="94"/>
      <c r="D91" s="94"/>
      <c r="E91" s="97"/>
      <c r="F91" s="54" t="s">
        <v>42</v>
      </c>
      <c r="G91" s="33">
        <f t="shared" si="36"/>
        <v>0</v>
      </c>
      <c r="H91" s="51"/>
      <c r="I91" s="55">
        <v>0</v>
      </c>
      <c r="J91" s="51"/>
      <c r="K91" s="51"/>
      <c r="L91" s="52"/>
      <c r="M91" s="53"/>
      <c r="N91" s="36"/>
      <c r="O91" s="4"/>
      <c r="P91" s="4"/>
    </row>
    <row r="92" spans="2:17" ht="16.2" thickBot="1" x14ac:dyDescent="0.35">
      <c r="B92" s="100"/>
      <c r="C92" s="94"/>
      <c r="D92" s="94"/>
      <c r="E92" s="97"/>
      <c r="F92" s="50" t="s">
        <v>4</v>
      </c>
      <c r="G92" s="33">
        <f t="shared" si="36"/>
        <v>7446.5277800000003</v>
      </c>
      <c r="H92" s="51">
        <f>5757.02193+1689.50585</f>
        <v>7446.5277800000003</v>
      </c>
      <c r="I92" s="55">
        <v>0</v>
      </c>
      <c r="J92" s="51"/>
      <c r="K92" s="51"/>
      <c r="L92" s="52"/>
      <c r="M92" s="53"/>
      <c r="N92" s="36"/>
      <c r="O92" s="4"/>
      <c r="P92" s="4"/>
    </row>
    <row r="93" spans="2:17" ht="16.2" thickBot="1" x14ac:dyDescent="0.35">
      <c r="B93" s="101"/>
      <c r="C93" s="95"/>
      <c r="D93" s="95"/>
      <c r="E93" s="98"/>
      <c r="F93" s="57" t="s">
        <v>5</v>
      </c>
      <c r="G93" s="33">
        <f t="shared" si="36"/>
        <v>0</v>
      </c>
      <c r="H93" s="58"/>
      <c r="I93" s="58">
        <v>0</v>
      </c>
      <c r="J93" s="58"/>
      <c r="K93" s="58"/>
      <c r="L93" s="59"/>
      <c r="M93" s="60"/>
      <c r="N93" s="36"/>
      <c r="O93" s="4"/>
      <c r="P93" s="4"/>
    </row>
    <row r="94" spans="2:17" ht="15.75" customHeight="1" thickBot="1" x14ac:dyDescent="0.35">
      <c r="B94" s="99" t="s">
        <v>32</v>
      </c>
      <c r="C94" s="93" t="s">
        <v>44</v>
      </c>
      <c r="D94" s="93" t="s">
        <v>59</v>
      </c>
      <c r="E94" s="96" t="s">
        <v>10</v>
      </c>
      <c r="F94" s="44" t="s">
        <v>1</v>
      </c>
      <c r="G94" s="33">
        <f t="shared" si="36"/>
        <v>8188</v>
      </c>
      <c r="H94" s="45">
        <f t="shared" ref="H94:M94" si="43">SUM(H95:H99)</f>
        <v>600</v>
      </c>
      <c r="I94" s="45">
        <f t="shared" si="43"/>
        <v>993</v>
      </c>
      <c r="J94" s="45">
        <f t="shared" si="43"/>
        <v>2200</v>
      </c>
      <c r="K94" s="45">
        <f t="shared" si="43"/>
        <v>2200</v>
      </c>
      <c r="L94" s="46">
        <f t="shared" si="43"/>
        <v>2195</v>
      </c>
      <c r="M94" s="47">
        <f t="shared" si="43"/>
        <v>0</v>
      </c>
      <c r="N94" s="36">
        <f t="shared" ref="N94" si="44">SUM(N95:N99)</f>
        <v>0</v>
      </c>
      <c r="O94" s="4"/>
      <c r="P94" s="4"/>
    </row>
    <row r="95" spans="2:17" ht="16.2" thickBot="1" x14ac:dyDescent="0.35">
      <c r="B95" s="100"/>
      <c r="C95" s="94"/>
      <c r="D95" s="94"/>
      <c r="E95" s="97"/>
      <c r="F95" s="50" t="s">
        <v>2</v>
      </c>
      <c r="G95" s="33">
        <f t="shared" si="36"/>
        <v>0</v>
      </c>
      <c r="H95" s="51"/>
      <c r="I95" s="51">
        <v>0</v>
      </c>
      <c r="J95" s="51"/>
      <c r="K95" s="51"/>
      <c r="L95" s="52"/>
      <c r="M95" s="53"/>
      <c r="N95" s="36"/>
      <c r="O95" s="4"/>
      <c r="P95" s="4"/>
    </row>
    <row r="96" spans="2:17" ht="16.2" thickBot="1" x14ac:dyDescent="0.35">
      <c r="B96" s="100"/>
      <c r="C96" s="94"/>
      <c r="D96" s="94"/>
      <c r="E96" s="97"/>
      <c r="F96" s="50" t="s">
        <v>3</v>
      </c>
      <c r="G96" s="33">
        <f t="shared" si="36"/>
        <v>0</v>
      </c>
      <c r="H96" s="51"/>
      <c r="I96" s="51">
        <v>0</v>
      </c>
      <c r="J96" s="51"/>
      <c r="K96" s="51"/>
      <c r="L96" s="52"/>
      <c r="M96" s="53"/>
      <c r="N96" s="36"/>
      <c r="O96" s="4"/>
      <c r="P96" s="4"/>
    </row>
    <row r="97" spans="2:16" ht="16.2" thickBot="1" x14ac:dyDescent="0.35">
      <c r="B97" s="100"/>
      <c r="C97" s="94"/>
      <c r="D97" s="94"/>
      <c r="E97" s="97"/>
      <c r="F97" s="54" t="s">
        <v>42</v>
      </c>
      <c r="G97" s="33">
        <f t="shared" si="36"/>
        <v>0</v>
      </c>
      <c r="H97" s="51"/>
      <c r="I97" s="55">
        <v>0</v>
      </c>
      <c r="J97" s="51"/>
      <c r="K97" s="51"/>
      <c r="L97" s="52"/>
      <c r="M97" s="53"/>
      <c r="N97" s="36"/>
      <c r="O97" s="4"/>
      <c r="P97" s="4"/>
    </row>
    <row r="98" spans="2:16" ht="16.2" thickBot="1" x14ac:dyDescent="0.35">
      <c r="B98" s="100"/>
      <c r="C98" s="94"/>
      <c r="D98" s="94"/>
      <c r="E98" s="97"/>
      <c r="F98" s="50" t="s">
        <v>4</v>
      </c>
      <c r="G98" s="33">
        <f t="shared" si="36"/>
        <v>8188</v>
      </c>
      <c r="H98" s="51">
        <v>600</v>
      </c>
      <c r="I98" s="55">
        <v>993</v>
      </c>
      <c r="J98" s="51">
        <f>2200</f>
        <v>2200</v>
      </c>
      <c r="K98" s="51">
        <v>2200</v>
      </c>
      <c r="L98" s="52">
        <v>2195</v>
      </c>
      <c r="M98" s="53"/>
      <c r="N98" s="36"/>
      <c r="O98" s="4"/>
      <c r="P98" s="4"/>
    </row>
    <row r="99" spans="2:16" ht="16.2" thickBot="1" x14ac:dyDescent="0.35">
      <c r="B99" s="101"/>
      <c r="C99" s="95"/>
      <c r="D99" s="95"/>
      <c r="E99" s="98"/>
      <c r="F99" s="57" t="s">
        <v>5</v>
      </c>
      <c r="G99" s="33">
        <f t="shared" si="36"/>
        <v>0</v>
      </c>
      <c r="H99" s="58"/>
      <c r="I99" s="58">
        <v>0</v>
      </c>
      <c r="J99" s="58"/>
      <c r="K99" s="58"/>
      <c r="L99" s="59"/>
      <c r="M99" s="60"/>
      <c r="N99" s="36"/>
      <c r="O99" s="4"/>
      <c r="P99" s="4"/>
    </row>
    <row r="100" spans="2:16" ht="15.75" customHeight="1" thickBot="1" x14ac:dyDescent="0.35">
      <c r="B100" s="99" t="s">
        <v>33</v>
      </c>
      <c r="C100" s="93" t="s">
        <v>41</v>
      </c>
      <c r="D100" s="93" t="s">
        <v>66</v>
      </c>
      <c r="E100" s="96" t="s">
        <v>10</v>
      </c>
      <c r="F100" s="44" t="s">
        <v>1</v>
      </c>
      <c r="G100" s="33">
        <f t="shared" si="36"/>
        <v>5788.7853699999996</v>
      </c>
      <c r="H100" s="45">
        <f t="shared" ref="H100:M100" si="45">SUM(H101:H105)</f>
        <v>0</v>
      </c>
      <c r="I100" s="45">
        <f t="shared" si="45"/>
        <v>0</v>
      </c>
      <c r="J100" s="45">
        <f t="shared" si="45"/>
        <v>188.78537000000006</v>
      </c>
      <c r="K100" s="45">
        <f t="shared" si="45"/>
        <v>0</v>
      </c>
      <c r="L100" s="46">
        <f t="shared" si="45"/>
        <v>600</v>
      </c>
      <c r="M100" s="47">
        <f t="shared" si="45"/>
        <v>5000</v>
      </c>
      <c r="N100" s="36">
        <f t="shared" ref="N100" si="46">SUM(N101:N105)</f>
        <v>0</v>
      </c>
      <c r="O100" s="4"/>
      <c r="P100" s="4"/>
    </row>
    <row r="101" spans="2:16" ht="16.2" thickBot="1" x14ac:dyDescent="0.35">
      <c r="B101" s="100"/>
      <c r="C101" s="94"/>
      <c r="D101" s="94"/>
      <c r="E101" s="97"/>
      <c r="F101" s="50" t="s">
        <v>2</v>
      </c>
      <c r="G101" s="33">
        <f t="shared" si="36"/>
        <v>0</v>
      </c>
      <c r="H101" s="51"/>
      <c r="I101" s="51">
        <v>0</v>
      </c>
      <c r="J101" s="51"/>
      <c r="K101" s="51"/>
      <c r="L101" s="52"/>
      <c r="M101" s="53"/>
      <c r="N101" s="36"/>
      <c r="O101" s="4"/>
      <c r="P101" s="4"/>
    </row>
    <row r="102" spans="2:16" ht="16.2" thickBot="1" x14ac:dyDescent="0.35">
      <c r="B102" s="100"/>
      <c r="C102" s="94"/>
      <c r="D102" s="94"/>
      <c r="E102" s="97"/>
      <c r="F102" s="50" t="s">
        <v>3</v>
      </c>
      <c r="G102" s="33">
        <f t="shared" si="36"/>
        <v>0</v>
      </c>
      <c r="H102" s="51"/>
      <c r="I102" s="51">
        <v>0</v>
      </c>
      <c r="J102" s="51"/>
      <c r="K102" s="51"/>
      <c r="L102" s="52"/>
      <c r="M102" s="53"/>
      <c r="N102" s="36"/>
      <c r="O102" s="4"/>
      <c r="P102" s="4"/>
    </row>
    <row r="103" spans="2:16" ht="16.2" thickBot="1" x14ac:dyDescent="0.35">
      <c r="B103" s="100"/>
      <c r="C103" s="94"/>
      <c r="D103" s="94"/>
      <c r="E103" s="97"/>
      <c r="F103" s="54" t="s">
        <v>42</v>
      </c>
      <c r="G103" s="33">
        <f t="shared" si="36"/>
        <v>0</v>
      </c>
      <c r="H103" s="51"/>
      <c r="I103" s="55">
        <v>0</v>
      </c>
      <c r="J103" s="51"/>
      <c r="K103" s="51"/>
      <c r="L103" s="52"/>
      <c r="M103" s="53"/>
      <c r="N103" s="36"/>
      <c r="O103" s="4"/>
      <c r="P103" s="4"/>
    </row>
    <row r="104" spans="2:16" ht="16.2" thickBot="1" x14ac:dyDescent="0.35">
      <c r="B104" s="100"/>
      <c r="C104" s="94"/>
      <c r="D104" s="94"/>
      <c r="E104" s="97"/>
      <c r="F104" s="50" t="s">
        <v>4</v>
      </c>
      <c r="G104" s="33">
        <f t="shared" si="36"/>
        <v>5788.7853699999996</v>
      </c>
      <c r="H104" s="51"/>
      <c r="I104" s="55">
        <v>0</v>
      </c>
      <c r="J104" s="51">
        <f>600+188.78537-600</f>
        <v>188.78537000000006</v>
      </c>
      <c r="K104" s="51"/>
      <c r="L104" s="52">
        <f>5000-4400</f>
        <v>600</v>
      </c>
      <c r="M104" s="53">
        <v>5000</v>
      </c>
      <c r="N104" s="36">
        <v>0</v>
      </c>
      <c r="O104" s="4"/>
      <c r="P104" s="4"/>
    </row>
    <row r="105" spans="2:16" ht="16.2" thickBot="1" x14ac:dyDescent="0.35">
      <c r="B105" s="101"/>
      <c r="C105" s="95"/>
      <c r="D105" s="95"/>
      <c r="E105" s="98"/>
      <c r="F105" s="57" t="s">
        <v>5</v>
      </c>
      <c r="G105" s="33">
        <f t="shared" si="36"/>
        <v>0</v>
      </c>
      <c r="H105" s="58"/>
      <c r="I105" s="58">
        <v>0</v>
      </c>
      <c r="J105" s="58"/>
      <c r="K105" s="58"/>
      <c r="L105" s="59"/>
      <c r="M105" s="60"/>
      <c r="N105" s="36"/>
      <c r="O105" s="4"/>
      <c r="P105" s="4"/>
    </row>
    <row r="106" spans="2:16" ht="15.75" customHeight="1" thickBot="1" x14ac:dyDescent="0.35">
      <c r="B106" s="99" t="s">
        <v>34</v>
      </c>
      <c r="C106" s="93" t="s">
        <v>43</v>
      </c>
      <c r="D106" s="93">
        <v>2024.2025000000001</v>
      </c>
      <c r="E106" s="96" t="s">
        <v>10</v>
      </c>
      <c r="F106" s="44" t="s">
        <v>1</v>
      </c>
      <c r="G106" s="33">
        <f t="shared" si="36"/>
        <v>12280.00001</v>
      </c>
      <c r="H106" s="45">
        <f t="shared" ref="H106:M106" si="47">SUM(H107:H111)</f>
        <v>0</v>
      </c>
      <c r="I106" s="45">
        <f t="shared" si="47"/>
        <v>0</v>
      </c>
      <c r="J106" s="45">
        <f t="shared" si="47"/>
        <v>2700</v>
      </c>
      <c r="K106" s="45">
        <f t="shared" si="47"/>
        <v>9407.5000099999997</v>
      </c>
      <c r="L106" s="46">
        <f t="shared" si="47"/>
        <v>172.5</v>
      </c>
      <c r="M106" s="47">
        <f t="shared" si="47"/>
        <v>0</v>
      </c>
      <c r="N106" s="36">
        <f t="shared" ref="N106" si="48">SUM(N107:N111)</f>
        <v>0</v>
      </c>
      <c r="O106" s="4"/>
      <c r="P106" s="4"/>
    </row>
    <row r="107" spans="2:16" ht="16.2" thickBot="1" x14ac:dyDescent="0.35">
      <c r="B107" s="100"/>
      <c r="C107" s="94"/>
      <c r="D107" s="94"/>
      <c r="E107" s="97"/>
      <c r="F107" s="50" t="s">
        <v>2</v>
      </c>
      <c r="G107" s="33">
        <f t="shared" si="36"/>
        <v>0</v>
      </c>
      <c r="H107" s="51"/>
      <c r="I107" s="51">
        <v>0</v>
      </c>
      <c r="J107" s="51"/>
      <c r="K107" s="51"/>
      <c r="L107" s="52"/>
      <c r="M107" s="53"/>
      <c r="N107" s="36"/>
      <c r="O107" s="4"/>
      <c r="P107" s="4"/>
    </row>
    <row r="108" spans="2:16" ht="16.2" thickBot="1" x14ac:dyDescent="0.35">
      <c r="B108" s="100"/>
      <c r="C108" s="94"/>
      <c r="D108" s="94"/>
      <c r="E108" s="97"/>
      <c r="F108" s="50" t="s">
        <v>3</v>
      </c>
      <c r="G108" s="33">
        <f t="shared" si="36"/>
        <v>0</v>
      </c>
      <c r="H108" s="51"/>
      <c r="I108" s="51">
        <v>0</v>
      </c>
      <c r="J108" s="51"/>
      <c r="K108" s="51"/>
      <c r="L108" s="52"/>
      <c r="M108" s="53"/>
      <c r="N108" s="36"/>
      <c r="O108" s="4"/>
      <c r="P108" s="4"/>
    </row>
    <row r="109" spans="2:16" ht="16.2" thickBot="1" x14ac:dyDescent="0.35">
      <c r="B109" s="100"/>
      <c r="C109" s="94"/>
      <c r="D109" s="94"/>
      <c r="E109" s="97"/>
      <c r="F109" s="54" t="s">
        <v>42</v>
      </c>
      <c r="G109" s="33">
        <f t="shared" si="36"/>
        <v>0</v>
      </c>
      <c r="H109" s="51"/>
      <c r="I109" s="55">
        <v>0</v>
      </c>
      <c r="J109" s="51"/>
      <c r="K109" s="51"/>
      <c r="L109" s="52"/>
      <c r="M109" s="53"/>
      <c r="N109" s="36"/>
      <c r="O109" s="4"/>
      <c r="P109" s="4"/>
    </row>
    <row r="110" spans="2:16" ht="16.2" thickBot="1" x14ac:dyDescent="0.35">
      <c r="B110" s="100"/>
      <c r="C110" s="94"/>
      <c r="D110" s="94"/>
      <c r="E110" s="97"/>
      <c r="F110" s="50" t="s">
        <v>4</v>
      </c>
      <c r="G110" s="33">
        <f t="shared" si="36"/>
        <v>12280.00001</v>
      </c>
      <c r="H110" s="51"/>
      <c r="I110" s="55">
        <v>0</v>
      </c>
      <c r="J110" s="51">
        <f>2700</f>
        <v>2700</v>
      </c>
      <c r="K110" s="51">
        <f>9407.50001</f>
        <v>9407.5000099999997</v>
      </c>
      <c r="L110" s="52">
        <f>172.5</f>
        <v>172.5</v>
      </c>
      <c r="M110" s="53"/>
      <c r="N110" s="36"/>
      <c r="O110" s="4"/>
      <c r="P110" s="4"/>
    </row>
    <row r="111" spans="2:16" ht="16.2" thickBot="1" x14ac:dyDescent="0.35">
      <c r="B111" s="101"/>
      <c r="C111" s="95"/>
      <c r="D111" s="95"/>
      <c r="E111" s="98"/>
      <c r="F111" s="57" t="s">
        <v>5</v>
      </c>
      <c r="G111" s="33">
        <f t="shared" si="36"/>
        <v>0</v>
      </c>
      <c r="H111" s="58"/>
      <c r="I111" s="58">
        <v>0</v>
      </c>
      <c r="J111" s="58"/>
      <c r="K111" s="58"/>
      <c r="L111" s="59"/>
      <c r="M111" s="60"/>
      <c r="N111" s="36"/>
      <c r="O111" s="4"/>
      <c r="P111" s="4"/>
    </row>
    <row r="112" spans="2:16" ht="15.75" customHeight="1" thickBot="1" x14ac:dyDescent="0.35">
      <c r="B112" s="99" t="s">
        <v>35</v>
      </c>
      <c r="C112" s="93" t="s">
        <v>57</v>
      </c>
      <c r="D112" s="93" t="s">
        <v>63</v>
      </c>
      <c r="E112" s="96" t="s">
        <v>10</v>
      </c>
      <c r="F112" s="44" t="s">
        <v>1</v>
      </c>
      <c r="G112" s="33">
        <f t="shared" si="36"/>
        <v>81214.398860000001</v>
      </c>
      <c r="H112" s="45">
        <f t="shared" ref="H112:M112" si="49">SUM(H113:H117)</f>
        <v>18897.63</v>
      </c>
      <c r="I112" s="45">
        <f t="shared" si="49"/>
        <v>9508.6322899999996</v>
      </c>
      <c r="J112" s="45">
        <f t="shared" si="49"/>
        <v>15000</v>
      </c>
      <c r="K112" s="45">
        <f t="shared" si="49"/>
        <v>14808.136569999999</v>
      </c>
      <c r="L112" s="46">
        <f t="shared" si="49"/>
        <v>8000</v>
      </c>
      <c r="M112" s="47">
        <f t="shared" si="49"/>
        <v>10000</v>
      </c>
      <c r="N112" s="36">
        <f t="shared" ref="N112" si="50">SUM(N113:N117)</f>
        <v>5000</v>
      </c>
      <c r="O112" s="4"/>
      <c r="P112" s="4"/>
    </row>
    <row r="113" spans="2:16" ht="16.2" thickBot="1" x14ac:dyDescent="0.35">
      <c r="B113" s="100"/>
      <c r="C113" s="94"/>
      <c r="D113" s="94"/>
      <c r="E113" s="97"/>
      <c r="F113" s="50" t="s">
        <v>2</v>
      </c>
      <c r="G113" s="33">
        <f t="shared" si="36"/>
        <v>0</v>
      </c>
      <c r="H113" s="51"/>
      <c r="I113" s="51">
        <v>0</v>
      </c>
      <c r="J113" s="51"/>
      <c r="K113" s="51"/>
      <c r="L113" s="52"/>
      <c r="M113" s="53"/>
      <c r="N113" s="36"/>
      <c r="O113" s="4"/>
      <c r="P113" s="4"/>
    </row>
    <row r="114" spans="2:16" ht="16.2" thickBot="1" x14ac:dyDescent="0.35">
      <c r="B114" s="100"/>
      <c r="C114" s="94"/>
      <c r="D114" s="94"/>
      <c r="E114" s="97"/>
      <c r="F114" s="50" t="s">
        <v>3</v>
      </c>
      <c r="G114" s="33">
        <f t="shared" si="36"/>
        <v>0</v>
      </c>
      <c r="H114" s="51"/>
      <c r="I114" s="51">
        <v>0</v>
      </c>
      <c r="J114" s="51"/>
      <c r="K114" s="51"/>
      <c r="L114" s="52"/>
      <c r="M114" s="53"/>
      <c r="N114" s="36"/>
      <c r="O114" s="4"/>
      <c r="P114" s="4"/>
    </row>
    <row r="115" spans="2:16" ht="16.2" thickBot="1" x14ac:dyDescent="0.35">
      <c r="B115" s="100"/>
      <c r="C115" s="94"/>
      <c r="D115" s="94"/>
      <c r="E115" s="97"/>
      <c r="F115" s="54" t="s">
        <v>42</v>
      </c>
      <c r="G115" s="33">
        <f t="shared" si="36"/>
        <v>23779.028149999998</v>
      </c>
      <c r="H115" s="51"/>
      <c r="I115" s="55">
        <v>0</v>
      </c>
      <c r="J115" s="51">
        <v>14985</v>
      </c>
      <c r="K115" s="51">
        <v>8794.0281500000001</v>
      </c>
      <c r="L115" s="52"/>
      <c r="M115" s="53"/>
      <c r="N115" s="36"/>
      <c r="O115" s="4"/>
      <c r="P115" s="4"/>
    </row>
    <row r="116" spans="2:16" ht="16.2" thickBot="1" x14ac:dyDescent="0.35">
      <c r="B116" s="100"/>
      <c r="C116" s="94"/>
      <c r="D116" s="94"/>
      <c r="E116" s="97"/>
      <c r="F116" s="50" t="s">
        <v>4</v>
      </c>
      <c r="G116" s="33">
        <f t="shared" si="36"/>
        <v>57435.370709999996</v>
      </c>
      <c r="H116" s="51">
        <v>18897.63</v>
      </c>
      <c r="I116" s="55">
        <f>9508.63229</f>
        <v>9508.6322899999996</v>
      </c>
      <c r="J116" s="51">
        <f>1915-1900</f>
        <v>15</v>
      </c>
      <c r="K116" s="51">
        <f>6014.10842</f>
        <v>6014.1084199999996</v>
      </c>
      <c r="L116" s="52">
        <f>10000-2000</f>
        <v>8000</v>
      </c>
      <c r="M116" s="53">
        <v>10000</v>
      </c>
      <c r="N116" s="36">
        <v>5000</v>
      </c>
      <c r="O116" s="4"/>
      <c r="P116" s="4"/>
    </row>
    <row r="117" spans="2:16" ht="16.2" thickBot="1" x14ac:dyDescent="0.35">
      <c r="B117" s="101"/>
      <c r="C117" s="95"/>
      <c r="D117" s="95"/>
      <c r="E117" s="98"/>
      <c r="F117" s="57" t="s">
        <v>5</v>
      </c>
      <c r="G117" s="33">
        <f t="shared" si="36"/>
        <v>0</v>
      </c>
      <c r="H117" s="58"/>
      <c r="I117" s="58">
        <v>0</v>
      </c>
      <c r="J117" s="58"/>
      <c r="K117" s="58"/>
      <c r="L117" s="59"/>
      <c r="M117" s="60"/>
      <c r="N117" s="36"/>
      <c r="O117" s="4"/>
      <c r="P117" s="4"/>
    </row>
    <row r="118" spans="2:16" ht="15.75" customHeight="1" thickBot="1" x14ac:dyDescent="0.35">
      <c r="B118" s="99" t="s">
        <v>36</v>
      </c>
      <c r="C118" s="93" t="s">
        <v>55</v>
      </c>
      <c r="D118" s="93" t="s">
        <v>67</v>
      </c>
      <c r="E118" s="96" t="s">
        <v>10</v>
      </c>
      <c r="F118" s="44" t="s">
        <v>1</v>
      </c>
      <c r="G118" s="33">
        <f t="shared" si="36"/>
        <v>10669.373</v>
      </c>
      <c r="H118" s="45">
        <f t="shared" ref="H118:M118" si="51">SUM(H119:H123)</f>
        <v>0</v>
      </c>
      <c r="I118" s="45">
        <f t="shared" si="51"/>
        <v>2688.51521</v>
      </c>
      <c r="J118" s="45">
        <f t="shared" si="51"/>
        <v>6307.8578600000001</v>
      </c>
      <c r="K118" s="45">
        <f t="shared" si="51"/>
        <v>1672.9999299999999</v>
      </c>
      <c r="L118" s="46">
        <f t="shared" si="51"/>
        <v>0</v>
      </c>
      <c r="M118" s="47">
        <f t="shared" si="51"/>
        <v>0</v>
      </c>
      <c r="N118" s="36">
        <f t="shared" ref="N118" si="52">SUM(N119:N123)</f>
        <v>0</v>
      </c>
      <c r="O118" s="4"/>
      <c r="P118" s="4"/>
    </row>
    <row r="119" spans="2:16" ht="16.2" thickBot="1" x14ac:dyDescent="0.35">
      <c r="B119" s="100"/>
      <c r="C119" s="94"/>
      <c r="D119" s="94"/>
      <c r="E119" s="97"/>
      <c r="F119" s="50" t="s">
        <v>2</v>
      </c>
      <c r="G119" s="33">
        <f t="shared" si="36"/>
        <v>0</v>
      </c>
      <c r="H119" s="51"/>
      <c r="I119" s="51">
        <v>0</v>
      </c>
      <c r="J119" s="51"/>
      <c r="K119" s="51"/>
      <c r="L119" s="52"/>
      <c r="M119" s="53"/>
      <c r="N119" s="36"/>
      <c r="O119" s="4"/>
      <c r="P119" s="4"/>
    </row>
    <row r="120" spans="2:16" ht="16.2" thickBot="1" x14ac:dyDescent="0.35">
      <c r="B120" s="100"/>
      <c r="C120" s="94"/>
      <c r="D120" s="94"/>
      <c r="E120" s="97"/>
      <c r="F120" s="50" t="s">
        <v>3</v>
      </c>
      <c r="G120" s="33">
        <f t="shared" si="36"/>
        <v>0</v>
      </c>
      <c r="H120" s="51"/>
      <c r="I120" s="51">
        <v>0</v>
      </c>
      <c r="J120" s="51"/>
      <c r="K120" s="51"/>
      <c r="L120" s="52"/>
      <c r="M120" s="53"/>
      <c r="N120" s="36"/>
      <c r="O120" s="4"/>
      <c r="P120" s="4"/>
    </row>
    <row r="121" spans="2:16" ht="16.2" thickBot="1" x14ac:dyDescent="0.35">
      <c r="B121" s="100"/>
      <c r="C121" s="94"/>
      <c r="D121" s="94"/>
      <c r="E121" s="97"/>
      <c r="F121" s="54" t="s">
        <v>42</v>
      </c>
      <c r="G121" s="33">
        <f t="shared" si="36"/>
        <v>8986.862000000001</v>
      </c>
      <c r="H121" s="51"/>
      <c r="I121" s="55">
        <v>2685.3119999999999</v>
      </c>
      <c r="J121" s="51">
        <v>6301.55</v>
      </c>
      <c r="K121" s="51"/>
      <c r="L121" s="52"/>
      <c r="M121" s="53"/>
      <c r="N121" s="36"/>
      <c r="O121" s="4"/>
      <c r="P121" s="56"/>
    </row>
    <row r="122" spans="2:16" ht="16.2" thickBot="1" x14ac:dyDescent="0.35">
      <c r="B122" s="100"/>
      <c r="C122" s="94"/>
      <c r="D122" s="94"/>
      <c r="E122" s="97"/>
      <c r="F122" s="50" t="s">
        <v>4</v>
      </c>
      <c r="G122" s="33">
        <f t="shared" si="36"/>
        <v>1682.511</v>
      </c>
      <c r="H122" s="51"/>
      <c r="I122" s="55">
        <v>3.2032099999999999</v>
      </c>
      <c r="J122" s="51">
        <f>6.30786</f>
        <v>6.3078599999999998</v>
      </c>
      <c r="K122" s="51">
        <v>1672.9999299999999</v>
      </c>
      <c r="L122" s="52"/>
      <c r="M122" s="53"/>
      <c r="N122" s="36"/>
      <c r="O122" s="4"/>
      <c r="P122" s="4"/>
    </row>
    <row r="123" spans="2:16" ht="16.2" thickBot="1" x14ac:dyDescent="0.35">
      <c r="B123" s="123"/>
      <c r="C123" s="124"/>
      <c r="D123" s="124"/>
      <c r="E123" s="89"/>
      <c r="F123" s="61" t="s">
        <v>5</v>
      </c>
      <c r="G123" s="33">
        <f t="shared" si="36"/>
        <v>0</v>
      </c>
      <c r="H123" s="62"/>
      <c r="I123" s="62">
        <v>0</v>
      </c>
      <c r="J123" s="62"/>
      <c r="K123" s="62"/>
      <c r="L123" s="63"/>
      <c r="M123" s="64"/>
      <c r="N123" s="36"/>
      <c r="O123" s="4"/>
      <c r="P123" s="4"/>
    </row>
    <row r="124" spans="2:16" ht="15.75" customHeight="1" thickBot="1" x14ac:dyDescent="0.35">
      <c r="B124" s="99" t="s">
        <v>37</v>
      </c>
      <c r="C124" s="93" t="s">
        <v>60</v>
      </c>
      <c r="D124" s="93" t="s">
        <v>68</v>
      </c>
      <c r="E124" s="96" t="s">
        <v>10</v>
      </c>
      <c r="F124" s="44" t="s">
        <v>1</v>
      </c>
      <c r="G124" s="33">
        <f t="shared" si="36"/>
        <v>12130.797340000001</v>
      </c>
      <c r="H124" s="45">
        <f t="shared" ref="H124:M124" si="53">SUM(H125:H129)</f>
        <v>0</v>
      </c>
      <c r="I124" s="45">
        <f t="shared" si="53"/>
        <v>0</v>
      </c>
      <c r="J124" s="45">
        <f>SUM(J125:J129)</f>
        <v>1021.02102</v>
      </c>
      <c r="K124" s="45">
        <f t="shared" si="53"/>
        <v>3117.7763199999999</v>
      </c>
      <c r="L124" s="46">
        <f t="shared" si="53"/>
        <v>3996</v>
      </c>
      <c r="M124" s="47">
        <f t="shared" si="53"/>
        <v>3996</v>
      </c>
      <c r="N124" s="36">
        <f t="shared" ref="N124" si="54">SUM(N125:N129)</f>
        <v>0</v>
      </c>
      <c r="O124" s="4"/>
      <c r="P124" s="4"/>
    </row>
    <row r="125" spans="2:16" ht="16.2" thickBot="1" x14ac:dyDescent="0.35">
      <c r="B125" s="100"/>
      <c r="C125" s="94"/>
      <c r="D125" s="94"/>
      <c r="E125" s="97"/>
      <c r="F125" s="50" t="s">
        <v>2</v>
      </c>
      <c r="G125" s="33">
        <f t="shared" si="36"/>
        <v>0</v>
      </c>
      <c r="H125" s="51"/>
      <c r="I125" s="51"/>
      <c r="J125" s="51"/>
      <c r="K125" s="51"/>
      <c r="L125" s="52"/>
      <c r="M125" s="53"/>
      <c r="N125" s="36"/>
      <c r="O125" s="4"/>
      <c r="P125" s="4"/>
    </row>
    <row r="126" spans="2:16" ht="16.2" thickBot="1" x14ac:dyDescent="0.35">
      <c r="B126" s="100"/>
      <c r="C126" s="94"/>
      <c r="D126" s="94"/>
      <c r="E126" s="97"/>
      <c r="F126" s="50" t="s">
        <v>3</v>
      </c>
      <c r="G126" s="33">
        <f t="shared" si="36"/>
        <v>0</v>
      </c>
      <c r="H126" s="51"/>
      <c r="I126" s="51"/>
      <c r="J126" s="51"/>
      <c r="K126" s="51"/>
      <c r="L126" s="52"/>
      <c r="M126" s="53"/>
      <c r="N126" s="36"/>
      <c r="O126" s="4"/>
      <c r="P126" s="4"/>
    </row>
    <row r="127" spans="2:16" ht="16.2" thickBot="1" x14ac:dyDescent="0.35">
      <c r="B127" s="100"/>
      <c r="C127" s="94"/>
      <c r="D127" s="94"/>
      <c r="E127" s="97"/>
      <c r="F127" s="54" t="s">
        <v>42</v>
      </c>
      <c r="G127" s="33">
        <f t="shared" si="36"/>
        <v>1020</v>
      </c>
      <c r="H127" s="51"/>
      <c r="I127" s="55"/>
      <c r="J127" s="51">
        <v>1020</v>
      </c>
      <c r="K127" s="51"/>
      <c r="L127" s="52"/>
      <c r="M127" s="53"/>
      <c r="N127" s="36"/>
      <c r="O127" s="4"/>
      <c r="P127" s="56"/>
    </row>
    <row r="128" spans="2:16" ht="16.2" thickBot="1" x14ac:dyDescent="0.35">
      <c r="B128" s="100"/>
      <c r="C128" s="94"/>
      <c r="D128" s="94"/>
      <c r="E128" s="97"/>
      <c r="F128" s="50" t="s">
        <v>4</v>
      </c>
      <c r="G128" s="33">
        <f t="shared" si="36"/>
        <v>11110.797340000001</v>
      </c>
      <c r="H128" s="51"/>
      <c r="I128" s="55"/>
      <c r="J128" s="51">
        <v>1.02102</v>
      </c>
      <c r="K128" s="51">
        <f>3117.77632</f>
        <v>3117.7763199999999</v>
      </c>
      <c r="L128" s="52">
        <f>3996</f>
        <v>3996</v>
      </c>
      <c r="M128" s="52">
        <v>3996</v>
      </c>
      <c r="N128" s="52">
        <v>0</v>
      </c>
      <c r="O128" s="4"/>
      <c r="P128" s="4"/>
    </row>
    <row r="129" spans="2:16" ht="16.2" thickBot="1" x14ac:dyDescent="0.35">
      <c r="B129" s="123"/>
      <c r="C129" s="124"/>
      <c r="D129" s="124"/>
      <c r="E129" s="89"/>
      <c r="F129" s="61" t="s">
        <v>5</v>
      </c>
      <c r="G129" s="33">
        <f t="shared" si="36"/>
        <v>0</v>
      </c>
      <c r="H129" s="62"/>
      <c r="I129" s="62"/>
      <c r="J129" s="62"/>
      <c r="K129" s="62"/>
      <c r="L129" s="63"/>
      <c r="M129" s="64"/>
      <c r="N129" s="36"/>
      <c r="O129" s="4"/>
      <c r="P129" s="4"/>
    </row>
    <row r="130" spans="2:16" ht="15.75" customHeight="1" thickBot="1" x14ac:dyDescent="0.35">
      <c r="B130" s="102"/>
      <c r="C130" s="105"/>
      <c r="D130" s="105" t="s">
        <v>63</v>
      </c>
      <c r="E130" s="108" t="s">
        <v>9</v>
      </c>
      <c r="F130" s="32" t="s">
        <v>1</v>
      </c>
      <c r="G130" s="33">
        <f t="shared" si="36"/>
        <v>1498578.9344200001</v>
      </c>
      <c r="H130" s="34">
        <f t="shared" ref="H130:M135" si="55">SUM(H76,H16)</f>
        <v>407596.19046000007</v>
      </c>
      <c r="I130" s="34">
        <f t="shared" si="55"/>
        <v>177770.80504000001</v>
      </c>
      <c r="J130" s="34">
        <f t="shared" si="55"/>
        <v>238924.52853000001</v>
      </c>
      <c r="K130" s="34">
        <f t="shared" si="55"/>
        <v>285642.29139000003</v>
      </c>
      <c r="L130" s="70">
        <f t="shared" si="55"/>
        <v>357647.11900000001</v>
      </c>
      <c r="M130" s="35">
        <f t="shared" si="55"/>
        <v>24998</v>
      </c>
      <c r="N130" s="36">
        <f t="shared" ref="N130" si="56">SUM(N76,N16)</f>
        <v>6000</v>
      </c>
      <c r="O130" s="4"/>
      <c r="P130" s="4"/>
    </row>
    <row r="131" spans="2:16" ht="16.2" thickBot="1" x14ac:dyDescent="0.35">
      <c r="B131" s="103"/>
      <c r="C131" s="106"/>
      <c r="D131" s="106"/>
      <c r="E131" s="109"/>
      <c r="F131" s="37" t="s">
        <v>2</v>
      </c>
      <c r="G131" s="33">
        <f t="shared" si="36"/>
        <v>632459.19689000002</v>
      </c>
      <c r="H131" s="38">
        <f t="shared" si="55"/>
        <v>268352.46828999999</v>
      </c>
      <c r="I131" s="38">
        <f t="shared" si="55"/>
        <v>105124.2</v>
      </c>
      <c r="J131" s="38">
        <f t="shared" si="55"/>
        <v>54211.172400000003</v>
      </c>
      <c r="K131" s="38">
        <f t="shared" si="55"/>
        <v>53064.856200000002</v>
      </c>
      <c r="L131" s="71">
        <f t="shared" si="55"/>
        <v>151706.5</v>
      </c>
      <c r="M131" s="39">
        <f t="shared" si="55"/>
        <v>0</v>
      </c>
      <c r="N131" s="36">
        <f t="shared" ref="N131" si="57">SUM(N77,N17)</f>
        <v>0</v>
      </c>
      <c r="O131" s="4"/>
      <c r="P131" s="4"/>
    </row>
    <row r="132" spans="2:16" ht="16.2" thickBot="1" x14ac:dyDescent="0.35">
      <c r="B132" s="103"/>
      <c r="C132" s="106"/>
      <c r="D132" s="106"/>
      <c r="E132" s="109"/>
      <c r="F132" s="37" t="s">
        <v>3</v>
      </c>
      <c r="G132" s="33">
        <f t="shared" si="36"/>
        <v>87648.685339999996</v>
      </c>
      <c r="H132" s="38">
        <f t="shared" si="55"/>
        <v>5503.6310100000001</v>
      </c>
      <c r="I132" s="38">
        <f t="shared" si="55"/>
        <v>955.67455000000007</v>
      </c>
      <c r="J132" s="38">
        <f t="shared" si="55"/>
        <v>9327.8288400000001</v>
      </c>
      <c r="K132" s="38">
        <f t="shared" si="55"/>
        <v>482.40057999999999</v>
      </c>
      <c r="L132" s="71">
        <f t="shared" si="55"/>
        <v>71379.15036</v>
      </c>
      <c r="M132" s="39">
        <f t="shared" si="55"/>
        <v>0</v>
      </c>
      <c r="N132" s="36">
        <f t="shared" ref="N132" si="58">SUM(N78,N18)</f>
        <v>0</v>
      </c>
      <c r="O132" s="4"/>
      <c r="P132" s="4"/>
    </row>
    <row r="133" spans="2:16" ht="16.2" thickBot="1" x14ac:dyDescent="0.35">
      <c r="B133" s="103"/>
      <c r="C133" s="106"/>
      <c r="D133" s="106"/>
      <c r="E133" s="109"/>
      <c r="F133" s="40" t="s">
        <v>42</v>
      </c>
      <c r="G133" s="33">
        <f t="shared" si="36"/>
        <v>593914.78680999996</v>
      </c>
      <c r="H133" s="38">
        <f t="shared" si="55"/>
        <v>76368</v>
      </c>
      <c r="I133" s="38">
        <f t="shared" si="55"/>
        <v>45441.179089999998</v>
      </c>
      <c r="J133" s="38">
        <f t="shared" si="55"/>
        <v>166539.45750999998</v>
      </c>
      <c r="K133" s="38">
        <f t="shared" si="55"/>
        <v>201026.15020999999</v>
      </c>
      <c r="L133" s="71">
        <f t="shared" si="55"/>
        <v>104540</v>
      </c>
      <c r="M133" s="39">
        <f t="shared" si="55"/>
        <v>0</v>
      </c>
      <c r="N133" s="36">
        <f t="shared" ref="N133" si="59">SUM(N79,N19)</f>
        <v>0</v>
      </c>
      <c r="O133" s="4"/>
      <c r="P133" s="4"/>
    </row>
    <row r="134" spans="2:16" ht="16.2" thickBot="1" x14ac:dyDescent="0.35">
      <c r="B134" s="103"/>
      <c r="C134" s="106"/>
      <c r="D134" s="106"/>
      <c r="E134" s="109"/>
      <c r="F134" s="37" t="s">
        <v>4</v>
      </c>
      <c r="G134" s="33">
        <f t="shared" si="36"/>
        <v>184556.26538000003</v>
      </c>
      <c r="H134" s="38">
        <f t="shared" si="55"/>
        <v>57372.091160000011</v>
      </c>
      <c r="I134" s="38">
        <f t="shared" si="55"/>
        <v>26249.751400000001</v>
      </c>
      <c r="J134" s="38">
        <f t="shared" si="55"/>
        <v>8846.0697799999998</v>
      </c>
      <c r="K134" s="38">
        <f t="shared" si="55"/>
        <v>31068.884399999999</v>
      </c>
      <c r="L134" s="71">
        <f t="shared" si="55"/>
        <v>30021.468639999999</v>
      </c>
      <c r="M134" s="39">
        <f t="shared" si="55"/>
        <v>24998</v>
      </c>
      <c r="N134" s="36">
        <f t="shared" ref="N134" si="60">SUM(N80,N20)</f>
        <v>6000</v>
      </c>
      <c r="O134" s="4"/>
      <c r="P134" s="4"/>
    </row>
    <row r="135" spans="2:16" ht="16.2" thickBot="1" x14ac:dyDescent="0.35">
      <c r="B135" s="120"/>
      <c r="C135" s="121"/>
      <c r="D135" s="121"/>
      <c r="E135" s="122"/>
      <c r="F135" s="72" t="s">
        <v>46</v>
      </c>
      <c r="G135" s="33">
        <f t="shared" si="36"/>
        <v>0</v>
      </c>
      <c r="H135" s="73">
        <f t="shared" si="55"/>
        <v>0</v>
      </c>
      <c r="I135" s="73">
        <f t="shared" si="55"/>
        <v>0</v>
      </c>
      <c r="J135" s="73">
        <f t="shared" si="55"/>
        <v>0</v>
      </c>
      <c r="K135" s="73">
        <f t="shared" si="55"/>
        <v>0</v>
      </c>
      <c r="L135" s="74">
        <f t="shared" si="55"/>
        <v>0</v>
      </c>
      <c r="M135" s="75">
        <f t="shared" si="55"/>
        <v>0</v>
      </c>
      <c r="N135" s="36">
        <f t="shared" ref="N135" si="61">SUM(N81,N21)</f>
        <v>0</v>
      </c>
      <c r="O135" s="4"/>
      <c r="P135" s="4"/>
    </row>
    <row r="137" spans="2:16" x14ac:dyDescent="0.3">
      <c r="K137" s="76"/>
      <c r="M137" s="76"/>
      <c r="N137" s="77"/>
      <c r="O137" s="76"/>
    </row>
    <row r="139" spans="2:16" x14ac:dyDescent="0.3">
      <c r="H139" s="78"/>
    </row>
  </sheetData>
  <mergeCells count="95">
    <mergeCell ref="D88:D93"/>
    <mergeCell ref="E88:E93"/>
    <mergeCell ref="B124:B129"/>
    <mergeCell ref="C124:C129"/>
    <mergeCell ref="D124:D129"/>
    <mergeCell ref="E124:E129"/>
    <mergeCell ref="D100:D105"/>
    <mergeCell ref="E100:E105"/>
    <mergeCell ref="B112:B117"/>
    <mergeCell ref="C112:C117"/>
    <mergeCell ref="D112:D117"/>
    <mergeCell ref="E112:E117"/>
    <mergeCell ref="B106:B111"/>
    <mergeCell ref="C106:C111"/>
    <mergeCell ref="D106:D111"/>
    <mergeCell ref="E106:E111"/>
    <mergeCell ref="B70:B75"/>
    <mergeCell ref="C70:C75"/>
    <mergeCell ref="D70:D75"/>
    <mergeCell ref="E70:E75"/>
    <mergeCell ref="B58:B63"/>
    <mergeCell ref="C58:C63"/>
    <mergeCell ref="D58:D63"/>
    <mergeCell ref="E58:E63"/>
    <mergeCell ref="B64:B69"/>
    <mergeCell ref="C64:C69"/>
    <mergeCell ref="D64:D69"/>
    <mergeCell ref="E64:E69"/>
    <mergeCell ref="B130:B135"/>
    <mergeCell ref="C130:C135"/>
    <mergeCell ref="D130:D135"/>
    <mergeCell ref="E130:E135"/>
    <mergeCell ref="B118:B123"/>
    <mergeCell ref="C118:C123"/>
    <mergeCell ref="D118:D123"/>
    <mergeCell ref="E118:E123"/>
    <mergeCell ref="B52:B57"/>
    <mergeCell ref="C52:C57"/>
    <mergeCell ref="D52:D57"/>
    <mergeCell ref="E52:E57"/>
    <mergeCell ref="B40:B45"/>
    <mergeCell ref="C40:C45"/>
    <mergeCell ref="D40:D45"/>
    <mergeCell ref="E40:E45"/>
    <mergeCell ref="B46:B51"/>
    <mergeCell ref="C46:C51"/>
    <mergeCell ref="D46:D51"/>
    <mergeCell ref="E46:E51"/>
    <mergeCell ref="B76:B81"/>
    <mergeCell ref="C76:C81"/>
    <mergeCell ref="D76:D81"/>
    <mergeCell ref="E76:E81"/>
    <mergeCell ref="B100:B105"/>
    <mergeCell ref="C100:C105"/>
    <mergeCell ref="B94:B99"/>
    <mergeCell ref="C94:C99"/>
    <mergeCell ref="D94:D99"/>
    <mergeCell ref="E94:E99"/>
    <mergeCell ref="B82:B87"/>
    <mergeCell ref="C82:C87"/>
    <mergeCell ref="D82:D87"/>
    <mergeCell ref="E82:E87"/>
    <mergeCell ref="B88:B93"/>
    <mergeCell ref="C88:C93"/>
    <mergeCell ref="B10:B14"/>
    <mergeCell ref="D10:D14"/>
    <mergeCell ref="E10:E14"/>
    <mergeCell ref="D22:D27"/>
    <mergeCell ref="E22:E27"/>
    <mergeCell ref="C10:C14"/>
    <mergeCell ref="B15:E15"/>
    <mergeCell ref="C34:C39"/>
    <mergeCell ref="D34:D39"/>
    <mergeCell ref="E34:E39"/>
    <mergeCell ref="B34:B39"/>
    <mergeCell ref="B16:B21"/>
    <mergeCell ref="C16:C21"/>
    <mergeCell ref="D16:D21"/>
    <mergeCell ref="E16:E21"/>
    <mergeCell ref="B22:B27"/>
    <mergeCell ref="C22:C27"/>
    <mergeCell ref="B28:B33"/>
    <mergeCell ref="C28:C33"/>
    <mergeCell ref="D28:D33"/>
    <mergeCell ref="E28:E33"/>
    <mergeCell ref="H1:P1"/>
    <mergeCell ref="H7:P7"/>
    <mergeCell ref="H3:P3"/>
    <mergeCell ref="B5:P5"/>
    <mergeCell ref="B7:B8"/>
    <mergeCell ref="C7:C8"/>
    <mergeCell ref="D7:D8"/>
    <mergeCell ref="E7:E8"/>
    <mergeCell ref="F7:F8"/>
    <mergeCell ref="G7:G8"/>
  </mergeCells>
  <phoneticPr fontId="10" type="noConversion"/>
  <printOptions horizontalCentered="1"/>
  <pageMargins left="0.39370078740157483" right="0.39370078740157483" top="0.78740157480314965" bottom="0.39370078740157483" header="0" footer="0"/>
  <pageSetup paperSize="9" scale="61" fitToHeight="3" orientation="landscape" r:id="rId1"/>
  <rowBreaks count="2" manualBreakCount="2">
    <brk id="48" min="1" max="15" man="1"/>
    <brk id="8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2019 - 2022</vt:lpstr>
      <vt:lpstr>'2019 - 2022'!Заголовки_для_печати</vt:lpstr>
      <vt:lpstr>'2019 - 2022'!Область_печати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2026-06-15T08:51:51Z</dcterms:modified>
</cp:coreProperties>
</file>